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成本法" sheetId="68" r:id="rId20"/>
    <sheet name="成本法 (元)" sheetId="69" state="hidden" r:id="rId21"/>
    <sheet name="假设开发法" sheetId="12" state="hidden" r:id="rId22"/>
    <sheet name="收益法（汇总）" sheetId="70" r:id="rId23"/>
    <sheet name="收益法-办公" sheetId="15" r:id="rId24"/>
    <sheet name="收益法-车库" sheetId="81"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r:id="rId39"/>
    <sheet name="容积率修正" sheetId="46" state="hidden" r:id="rId40"/>
    <sheet name="成本法（废）" sheetId="11" state="hidden" r:id="rId41"/>
    <sheet name="土地案例" sheetId="82"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4" sheetId="8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4">'收益法-车库'!$A$1:$F$43,'收益法-车库'!$H$3:$M$29,'收益法-车库'!$A$46:$F$71,'收益法-车库'!$I$46:$N$65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19" i="1" l="1"/>
  <c r="L14" i="1" l="1"/>
  <c r="N26" i="1" l="1"/>
  <c r="N27" i="1"/>
  <c r="M26" i="1"/>
  <c r="M27" i="1"/>
  <c r="M29" i="1"/>
  <c r="L26" i="1"/>
  <c r="L27" i="1"/>
  <c r="I8" i="80"/>
  <c r="L25" i="1" l="1"/>
  <c r="M25" i="1" s="1"/>
  <c r="M24" i="1" s="1"/>
  <c r="AL7" i="1" l="1"/>
  <c r="N18" i="1" l="1"/>
  <c r="F33" i="80" l="1"/>
  <c r="E34" i="80" s="1"/>
  <c r="E29" i="80"/>
  <c r="E33" i="80"/>
  <c r="G33" i="80"/>
  <c r="N6" i="1"/>
  <c r="I46" i="39"/>
  <c r="G46" i="39"/>
  <c r="E46" i="39"/>
  <c r="I38" i="39"/>
  <c r="G38" i="39"/>
  <c r="E38" i="39"/>
  <c r="P69" i="39"/>
  <c r="Q69" i="39"/>
  <c r="R69" i="39"/>
  <c r="S69" i="39"/>
  <c r="I7" i="39"/>
  <c r="G7" i="39"/>
  <c r="E7" i="39"/>
  <c r="C38" i="39"/>
  <c r="I5" i="39"/>
  <c r="G5" i="39"/>
  <c r="E5" i="39"/>
  <c r="Q72" i="81"/>
  <c r="Q59" i="81"/>
  <c r="K59" i="81"/>
  <c r="P74" i="81" s="1"/>
  <c r="Q58" i="81"/>
  <c r="Q51" i="81"/>
  <c r="J50" i="81"/>
  <c r="M47" i="81"/>
  <c r="D46" i="81"/>
  <c r="F33" i="81"/>
  <c r="F61" i="81" s="1"/>
  <c r="F23" i="81"/>
  <c r="D24" i="81" s="1"/>
  <c r="F21" i="81"/>
  <c r="F20" i="81"/>
  <c r="M19" i="81"/>
  <c r="F18" i="81"/>
  <c r="F17" i="81"/>
  <c r="F15" i="81"/>
  <c r="G1" i="81"/>
  <c r="C76" i="81"/>
  <c r="D22" i="81" l="1"/>
  <c r="D23" i="81"/>
  <c r="Q71" i="81"/>
  <c r="P61" i="81"/>
  <c r="Y6" i="1"/>
  <c r="Y7" i="1" s="1"/>
  <c r="N14" i="1"/>
  <c r="N7" i="1"/>
  <c r="E31" i="80"/>
  <c r="M24" i="81"/>
  <c r="M26" i="81"/>
  <c r="F42" i="81"/>
  <c r="F38" i="81"/>
  <c r="F36" i="81"/>
  <c r="F7" i="81"/>
  <c r="F40" i="81"/>
  <c r="M27" i="81"/>
  <c r="M23" i="81"/>
  <c r="F16" i="81"/>
  <c r="F9" i="81"/>
  <c r="F26" i="81"/>
  <c r="M6" i="81"/>
  <c r="F13" i="81"/>
  <c r="F37" i="81"/>
  <c r="J15" i="81"/>
  <c r="M28" i="81"/>
  <c r="M22" i="81"/>
  <c r="M8" i="81"/>
  <c r="F8" i="81"/>
  <c r="F6" i="81"/>
  <c r="M9" i="81"/>
  <c r="F66" i="81" l="1"/>
  <c r="F68" i="81"/>
  <c r="F31" i="81"/>
  <c r="C6" i="81"/>
  <c r="F51" i="81"/>
  <c r="C27" i="81"/>
  <c r="F64" i="81"/>
  <c r="F50" i="81"/>
  <c r="M7" i="81"/>
  <c r="M17" i="81" s="1"/>
  <c r="F65" i="81"/>
  <c r="F59" i="81" l="1"/>
  <c r="C49" i="81"/>
  <c r="J6" i="81"/>
  <c r="AL13" i="3"/>
  <c r="K13" i="3"/>
  <c r="G20" i="6" s="1"/>
  <c r="D42" i="43" s="1"/>
  <c r="I13" i="3"/>
  <c r="F19" i="6" s="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94" i="43" s="1"/>
  <c r="G23" i="78"/>
  <c r="G24" i="78"/>
  <c r="G25" i="78"/>
  <c r="B15" i="78"/>
  <c r="B18" i="78"/>
  <c r="G16" i="73"/>
  <c r="F16" i="73"/>
  <c r="E16" i="73"/>
  <c r="H101" i="43" l="1"/>
  <c r="H95" i="43"/>
  <c r="H93" i="43"/>
  <c r="H100" i="43"/>
  <c r="H97" i="43"/>
  <c r="H96" i="43"/>
  <c r="H98" i="43"/>
  <c r="H99"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H23" i="39" s="1"/>
  <c r="U23" i="39" s="1"/>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s="1"/>
  <c r="J35" i="39"/>
  <c r="AC35" i="39"/>
  <c r="F35" i="39"/>
  <c r="AA35" i="39" s="1"/>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S31"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J25" i="39"/>
  <c r="W25" i="39" s="1"/>
  <c r="F15" i="39"/>
  <c r="AA15" i="39" s="1"/>
  <c r="H15" i="39"/>
  <c r="U15" i="39" s="1"/>
  <c r="J15" i="39"/>
  <c r="W15" i="39" s="1"/>
  <c r="U40" i="39"/>
  <c r="S42" i="39"/>
  <c r="W8" i="39"/>
  <c r="J19" i="40"/>
  <c r="AC19" i="40"/>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D48" i="9"/>
  <c r="M52" i="9" s="1"/>
  <c r="K9" i="1"/>
  <c r="M9"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J21" i="39"/>
  <c r="W21" i="39" s="1"/>
  <c r="F21" i="39"/>
  <c r="AA21" i="39" s="1"/>
  <c r="H21" i="39"/>
  <c r="AB21" i="39" s="1"/>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K1" i="12"/>
  <c r="E19" i="11"/>
  <c r="E1" i="73"/>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S14" i="39"/>
  <c r="AA14" i="39"/>
  <c r="U43" i="39"/>
  <c r="AB43" i="39"/>
  <c r="W17" i="39"/>
  <c r="AC17"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8" i="76"/>
  <c r="F6" i="73"/>
  <c r="B13" i="76"/>
  <c r="F5" i="73"/>
  <c r="AO13" i="1"/>
  <c r="E10" i="76"/>
  <c r="F20" i="31"/>
  <c r="D4" i="73"/>
  <c r="F4" i="73"/>
  <c r="F7" i="73"/>
  <c r="B9" i="76"/>
  <c r="E8" i="76"/>
  <c r="E11" i="76"/>
  <c r="E13" i="76"/>
  <c r="E7" i="76"/>
  <c r="F43" i="81"/>
  <c r="M29" i="81"/>
  <c r="D3" i="73"/>
  <c r="E12" i="76"/>
  <c r="B12" i="76"/>
  <c r="E2" i="68"/>
  <c r="D6" i="73"/>
  <c r="F3" i="73"/>
  <c r="L48" i="81"/>
  <c r="E2" i="69"/>
  <c r="B7" i="76"/>
  <c r="B11" i="76"/>
  <c r="D7" i="73"/>
  <c r="E9" i="76"/>
  <c r="B10" i="76"/>
  <c r="N59" i="81" l="1"/>
  <c r="L59" i="81"/>
  <c r="J51" i="15"/>
  <c r="F11" i="1"/>
  <c r="G11" i="1" s="1"/>
  <c r="G44" i="43"/>
  <c r="F71" i="81"/>
  <c r="M7" i="1"/>
  <c r="G6" i="1"/>
  <c r="I24" i="43"/>
  <c r="C24" i="43" s="1"/>
  <c r="H69" i="43"/>
  <c r="J57" i="81"/>
  <c r="J55" i="81" s="1"/>
  <c r="J58" i="81" s="1"/>
  <c r="Q50" i="81" s="1"/>
  <c r="L58" i="81"/>
  <c r="I54" i="81"/>
  <c r="J53" i="81"/>
  <c r="L56" i="81"/>
  <c r="G7" i="1"/>
  <c r="O7" i="1"/>
  <c r="P7" i="1" s="1"/>
  <c r="F27" i="39"/>
  <c r="AB27" i="39"/>
  <c r="J27" i="39"/>
  <c r="AC27" i="39" s="1"/>
  <c r="H25" i="39"/>
  <c r="AC25" i="39"/>
  <c r="F25" i="39"/>
  <c r="AA25" i="39" s="1"/>
  <c r="W23" i="39"/>
  <c r="F19" i="39"/>
  <c r="AA19" i="39" s="1"/>
  <c r="J19" i="39"/>
  <c r="AC19" i="39" s="1"/>
  <c r="H19" i="39"/>
  <c r="U12" i="39"/>
  <c r="AA12" i="39"/>
  <c r="AC38" i="39"/>
  <c r="H123" i="39"/>
  <c r="I123" i="39" s="1"/>
  <c r="J123" i="39" s="1"/>
  <c r="K123" i="39" s="1"/>
  <c r="L123" i="39" s="1"/>
  <c r="M123" i="39" s="1"/>
  <c r="J41" i="39"/>
  <c r="W41" i="39" s="1"/>
  <c r="F41" i="39"/>
  <c r="H41" i="39"/>
  <c r="W29" i="39"/>
  <c r="W27" i="39"/>
  <c r="U21" i="39"/>
  <c r="AC31" i="39"/>
  <c r="W34" i="39"/>
  <c r="AB34" i="39"/>
  <c r="AA31" i="39"/>
  <c r="U32" i="39"/>
  <c r="U31" i="39"/>
  <c r="S38" i="39"/>
  <c r="S23" i="39"/>
  <c r="S21" i="39"/>
  <c r="S13" i="39"/>
  <c r="U9" i="39"/>
  <c r="W9" i="39"/>
  <c r="C18" i="9"/>
  <c r="D18" i="9" s="1"/>
  <c r="M20" i="15"/>
  <c r="F34" i="81"/>
  <c r="F62" i="81" s="1"/>
  <c r="M20" i="81"/>
  <c r="C24" i="12"/>
  <c r="C33" i="81"/>
  <c r="J19" i="81"/>
  <c r="C61" i="81"/>
  <c r="B41" i="1"/>
  <c r="F53" i="9" s="1"/>
  <c r="D93" i="9"/>
  <c r="C40" i="69"/>
  <c r="C40" i="11"/>
  <c r="C21" i="68"/>
  <c r="E19" i="68"/>
  <c r="G22" i="68"/>
  <c r="G22" i="69"/>
  <c r="F34" i="68"/>
  <c r="C36" i="68" s="1"/>
  <c r="M59" i="81"/>
  <c r="G1" i="67"/>
  <c r="K6" i="1"/>
  <c r="G13" i="3"/>
  <c r="G5" i="3" s="1"/>
  <c r="B3" i="3" s="1"/>
  <c r="BL13" i="3"/>
  <c r="BL5" i="3" s="1"/>
  <c r="BA14" i="3"/>
  <c r="AZ14" i="3" s="1"/>
  <c r="G1" i="69"/>
  <c r="G1" i="68"/>
  <c r="G1" i="15"/>
  <c r="B6" i="1"/>
  <c r="E6" i="1" s="1"/>
  <c r="H5" i="3"/>
  <c r="BA5" i="3"/>
  <c r="G28"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E29" i="6"/>
  <c r="K15" i="1" s="1"/>
  <c r="F30" i="6"/>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D9" i="68"/>
  <c r="M28" i="67"/>
  <c r="F38" i="15"/>
  <c r="F36" i="15"/>
  <c r="J15" i="15"/>
  <c r="L48" i="15"/>
  <c r="M28" i="15"/>
  <c r="F40" i="67"/>
  <c r="F16" i="67"/>
  <c r="F6" i="67"/>
  <c r="F8" i="15"/>
  <c r="G1" i="73"/>
  <c r="M29" i="67"/>
  <c r="L47" i="67"/>
  <c r="F9" i="67"/>
  <c r="M24" i="67"/>
  <c r="F7" i="15"/>
  <c r="F13" i="67"/>
  <c r="F37" i="67"/>
  <c r="C76" i="67"/>
  <c r="C16" i="81"/>
  <c r="M24" i="15"/>
  <c r="M23" i="15"/>
  <c r="M26" i="67"/>
  <c r="C76" i="15"/>
  <c r="M9" i="15"/>
  <c r="F37" i="15"/>
  <c r="F26" i="15"/>
  <c r="M26" i="15"/>
  <c r="F26" i="67"/>
  <c r="M8" i="67"/>
  <c r="F42" i="15"/>
  <c r="M6" i="15"/>
  <c r="M22" i="15"/>
  <c r="M22" i="67"/>
  <c r="F36" i="67"/>
  <c r="J15" i="67"/>
  <c r="F13" i="15"/>
  <c r="M6" i="67"/>
  <c r="M9" i="67"/>
  <c r="F42" i="67"/>
  <c r="L48" i="67"/>
  <c r="M29" i="15"/>
  <c r="F40" i="15"/>
  <c r="F6" i="15"/>
  <c r="L47" i="15"/>
  <c r="F43" i="15"/>
  <c r="F7" i="67"/>
  <c r="F9" i="15"/>
  <c r="F16" i="15"/>
  <c r="F8" i="67"/>
  <c r="M8" i="15"/>
  <c r="M23" i="67"/>
  <c r="F43" i="67"/>
  <c r="F38" i="67"/>
  <c r="J7" i="36" l="1"/>
  <c r="H7" i="36"/>
  <c r="Q61" i="81"/>
  <c r="Q74" i="81"/>
  <c r="J7" i="37"/>
  <c r="E507" i="3"/>
  <c r="E553" i="3"/>
  <c r="E396" i="3"/>
  <c r="V6" i="3"/>
  <c r="E130" i="3"/>
  <c r="E550" i="3"/>
  <c r="E578" i="3"/>
  <c r="E305" i="3"/>
  <c r="E151" i="3"/>
  <c r="E407" i="3"/>
  <c r="E114" i="3"/>
  <c r="E290" i="3"/>
  <c r="E518" i="3"/>
  <c r="E516" i="3"/>
  <c r="E358" i="3"/>
  <c r="E320" i="3"/>
  <c r="E395" i="3"/>
  <c r="E61" i="3"/>
  <c r="E293" i="3"/>
  <c r="E217" i="3"/>
  <c r="E569" i="3"/>
  <c r="E559" i="3"/>
  <c r="E230" i="3"/>
  <c r="E260" i="3"/>
  <c r="E245" i="3"/>
  <c r="E583" i="3"/>
  <c r="AP6" i="1"/>
  <c r="C36" i="69" s="1"/>
  <c r="D33" i="43"/>
  <c r="D1" i="43" s="1"/>
  <c r="F1" i="81"/>
  <c r="Q52" i="81"/>
  <c r="Q73" i="81"/>
  <c r="Q60" i="81"/>
  <c r="AC41" i="39"/>
  <c r="S19" i="39"/>
  <c r="S27" i="39"/>
  <c r="AA27" i="39"/>
  <c r="AB25" i="39"/>
  <c r="U25" i="39"/>
  <c r="W19" i="39"/>
  <c r="AB19" i="39"/>
  <c r="U19" i="39"/>
  <c r="AB41" i="39"/>
  <c r="U41" i="39"/>
  <c r="S41" i="39"/>
  <c r="AA41" i="39"/>
  <c r="F48" i="9"/>
  <c r="O52" i="9" s="1"/>
  <c r="F28" i="81"/>
  <c r="C28" i="81" s="1"/>
  <c r="M18" i="81"/>
  <c r="J18" i="81" s="1"/>
  <c r="F32" i="81"/>
  <c r="F28" i="67"/>
  <c r="C28" i="67" s="1"/>
  <c r="F32" i="67"/>
  <c r="F60" i="67" s="1"/>
  <c r="F28" i="15"/>
  <c r="C28" i="15" s="1"/>
  <c r="F31" i="12"/>
  <c r="C31" i="12" s="1"/>
  <c r="F30" i="69"/>
  <c r="D68" i="9"/>
  <c r="F30" i="68"/>
  <c r="F52" i="9"/>
  <c r="F32" i="15"/>
  <c r="F60" i="15" s="1"/>
  <c r="F54" i="9"/>
  <c r="F30" i="11"/>
  <c r="M18" i="67"/>
  <c r="M18" i="15"/>
  <c r="F11" i="81"/>
  <c r="M11" i="81"/>
  <c r="J10" i="81" s="1"/>
  <c r="J5" i="81" s="1"/>
  <c r="E336" i="3"/>
  <c r="E382" i="3"/>
  <c r="E117" i="3"/>
  <c r="E415" i="3"/>
  <c r="E294" i="3"/>
  <c r="E551" i="3"/>
  <c r="E229" i="3"/>
  <c r="AJ6" i="3"/>
  <c r="F65" i="67"/>
  <c r="F68" i="67"/>
  <c r="F51" i="67"/>
  <c r="M59" i="67"/>
  <c r="N59" i="67"/>
  <c r="L58" i="67"/>
  <c r="Q73" i="67" s="1"/>
  <c r="L59" i="67"/>
  <c r="Q74" i="67" s="1"/>
  <c r="F50" i="67"/>
  <c r="M7" i="67"/>
  <c r="J6" i="67" s="1"/>
  <c r="J18" i="67" s="1"/>
  <c r="F71" i="67"/>
  <c r="F66" i="67"/>
  <c r="F31" i="67"/>
  <c r="C6" i="67"/>
  <c r="C32" i="67" s="1"/>
  <c r="F64" i="67"/>
  <c r="C27" i="67"/>
  <c r="Q71" i="67"/>
  <c r="L56" i="67"/>
  <c r="I54" i="67"/>
  <c r="J53" i="67"/>
  <c r="Q52" i="67" s="1"/>
  <c r="J57" i="67"/>
  <c r="J55" i="67" s="1"/>
  <c r="J58" i="67" s="1"/>
  <c r="Q50" i="67" s="1"/>
  <c r="Q16" i="1"/>
  <c r="F27" i="69" s="1"/>
  <c r="C47" i="69" s="1"/>
  <c r="D45" i="69" s="1"/>
  <c r="M6" i="1"/>
  <c r="K16" i="1"/>
  <c r="E480" i="3"/>
  <c r="AM6" i="3"/>
  <c r="E331" i="3"/>
  <c r="E295" i="3"/>
  <c r="E126" i="3"/>
  <c r="E27" i="3"/>
  <c r="E476" i="3"/>
  <c r="E505" i="3"/>
  <c r="E414" i="3"/>
  <c r="E515" i="3"/>
  <c r="E107" i="3"/>
  <c r="E269" i="3"/>
  <c r="E567" i="3"/>
  <c r="E318" i="3"/>
  <c r="E279" i="3"/>
  <c r="E111" i="3"/>
  <c r="E433" i="3"/>
  <c r="E571" i="3"/>
  <c r="E457" i="3"/>
  <c r="E458" i="3"/>
  <c r="E519" i="3"/>
  <c r="E45" i="3"/>
  <c r="E511" i="3"/>
  <c r="E85" i="3"/>
  <c r="E253" i="3"/>
  <c r="E435" i="3"/>
  <c r="E544" i="3"/>
  <c r="E371" i="3"/>
  <c r="E264" i="3"/>
  <c r="E152" i="3"/>
  <c r="E233" i="3"/>
  <c r="E556" i="3"/>
  <c r="E332" i="3"/>
  <c r="E220" i="3"/>
  <c r="E102" i="3"/>
  <c r="E64" i="3"/>
  <c r="E392" i="3"/>
  <c r="E24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E509" i="3"/>
  <c r="E508" i="3"/>
  <c r="E282" i="3"/>
  <c r="E526" i="3"/>
  <c r="E175" i="3"/>
  <c r="E29" i="3"/>
  <c r="E384" i="3"/>
  <c r="E316" i="3"/>
  <c r="E272" i="3"/>
  <c r="E162" i="3"/>
  <c r="E71" i="3"/>
  <c r="E403" i="3"/>
  <c r="E367" i="3"/>
  <c r="E548" i="3"/>
  <c r="U6" i="3"/>
  <c r="E145" i="3"/>
  <c r="E196" i="3"/>
  <c r="E93" i="3"/>
  <c r="E357" i="3"/>
  <c r="E208" i="3"/>
  <c r="E54" i="3"/>
  <c r="E471" i="3"/>
  <c r="W6" i="3"/>
  <c r="E438" i="3"/>
  <c r="E529" i="3"/>
  <c r="E313" i="3"/>
  <c r="E157" i="3"/>
  <c r="E352" i="3"/>
  <c r="E461" i="3"/>
  <c r="E173" i="3"/>
  <c r="E56" i="3"/>
  <c r="E484" i="3"/>
  <c r="E84" i="3"/>
  <c r="E21" i="3"/>
  <c r="E76" i="3"/>
  <c r="E283" i="3"/>
  <c r="E452" i="3"/>
  <c r="E42" i="3"/>
  <c r="E383" i="3"/>
  <c r="E287" i="3"/>
  <c r="E144" i="3"/>
  <c r="L6" i="3"/>
  <c r="E497"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388" i="3"/>
  <c r="N6" i="3"/>
  <c r="E268" i="3"/>
  <c r="E530" i="3"/>
  <c r="E125" i="3"/>
  <c r="E44" i="3"/>
  <c r="E334" i="3"/>
  <c r="E291" i="3"/>
  <c r="E186" i="3"/>
  <c r="E121" i="3"/>
  <c r="E447" i="3"/>
  <c r="AS6" i="3"/>
  <c r="E477" i="3"/>
  <c r="E478" i="3"/>
  <c r="E585" i="3"/>
  <c r="E271" i="3"/>
  <c r="E549" i="3"/>
  <c r="E31" i="3"/>
  <c r="E351" i="3"/>
  <c r="E150" i="3"/>
  <c r="E72" i="3"/>
  <c r="E450" i="3"/>
  <c r="E562" i="3"/>
  <c r="E527" i="3"/>
  <c r="E573" i="3"/>
  <c r="E193" i="3"/>
  <c r="E99" i="3"/>
  <c r="E314" i="3"/>
  <c r="E453" i="3"/>
  <c r="E541" i="3"/>
  <c r="E132" i="3"/>
  <c r="E46" i="3"/>
  <c r="E184" i="3"/>
  <c r="E430" i="3"/>
  <c r="E103" i="3"/>
  <c r="E369" i="3"/>
  <c r="E104" i="3"/>
  <c r="E482" i="3"/>
  <c r="E86" i="3"/>
  <c r="E456" i="3"/>
  <c r="E524" i="3"/>
  <c r="E158" i="3"/>
  <c r="E165" i="3"/>
  <c r="E110" i="3"/>
  <c r="E148" i="3"/>
  <c r="E419" i="3"/>
  <c r="E15" i="3"/>
  <c r="E112" i="3"/>
  <c r="E62" i="3"/>
  <c r="E513" i="3"/>
  <c r="E23" i="3"/>
  <c r="E409" i="3"/>
  <c r="E37" i="3"/>
  <c r="E140" i="3"/>
  <c r="E113" i="3"/>
  <c r="E49" i="3"/>
  <c r="E235" i="3"/>
  <c r="E18" i="3"/>
  <c r="E356" i="3"/>
  <c r="E115" i="3"/>
  <c r="E13" i="3"/>
  <c r="E405" i="3"/>
  <c r="E63" i="3"/>
  <c r="E267" i="3"/>
  <c r="E241" i="3"/>
  <c r="AP6" i="3"/>
  <c r="E309" i="3"/>
  <c r="E355" i="3"/>
  <c r="E492" i="3"/>
  <c r="E160" i="3"/>
  <c r="E59" i="3"/>
  <c r="E258" i="3"/>
  <c r="E417" i="3"/>
  <c r="E449"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421" i="3"/>
  <c r="E163" i="3"/>
  <c r="E442" i="3"/>
  <c r="E25" i="3"/>
  <c r="E170" i="3"/>
  <c r="E123" i="3"/>
  <c r="E176" i="3"/>
  <c r="E118" i="3"/>
  <c r="E300" i="3"/>
  <c r="E389" i="3"/>
  <c r="E491" i="3"/>
  <c r="E83" i="3"/>
  <c r="E324" i="3"/>
  <c r="E413" i="3"/>
  <c r="E48" i="3"/>
  <c r="E105" i="3"/>
  <c r="E242" i="3"/>
  <c r="E219" i="3"/>
  <c r="E340" i="3"/>
  <c r="E365" i="3"/>
  <c r="E381" i="3"/>
  <c r="E142" i="3"/>
  <c r="E363" i="3"/>
  <c r="E255" i="3"/>
  <c r="E326" i="3"/>
  <c r="E370" i="3"/>
  <c r="E522" i="3"/>
  <c r="E190" i="3"/>
  <c r="E75" i="3"/>
  <c r="E281" i="3"/>
  <c r="E420" i="3"/>
  <c r="E451" i="3"/>
  <c r="E296" i="3"/>
  <c r="E67" i="3"/>
  <c r="E425" i="3"/>
  <c r="E479" i="3"/>
  <c r="E525" i="3"/>
  <c r="E81" i="3"/>
  <c r="E33" i="3"/>
  <c r="E249" i="3"/>
  <c r="E467" i="3"/>
  <c r="E349" i="3"/>
  <c r="E95" i="3"/>
  <c r="E554" i="3"/>
  <c r="T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239" i="3"/>
  <c r="E322" i="3"/>
  <c r="E343" i="3"/>
  <c r="E366" i="3"/>
  <c r="E441" i="3"/>
  <c r="E30" i="3"/>
  <c r="E317" i="3"/>
  <c r="E210" i="3"/>
  <c r="E166" i="3"/>
  <c r="E92" i="3"/>
  <c r="E546" i="3"/>
  <c r="E547" i="3"/>
  <c r="E432" i="3"/>
  <c r="E411" i="3"/>
  <c r="E379" i="3"/>
  <c r="E207" i="3"/>
  <c r="E397" i="3"/>
  <c r="E14" i="3"/>
  <c r="E257" i="3"/>
  <c r="E168" i="3"/>
  <c r="E475" i="3"/>
  <c r="E537" i="3"/>
  <c r="E288" i="3"/>
  <c r="E474" i="3"/>
  <c r="E532" i="3"/>
  <c r="E224" i="3"/>
  <c r="E306" i="3"/>
  <c r="E136" i="3"/>
  <c r="E122" i="3"/>
  <c r="I3" i="6"/>
  <c r="E292" i="3"/>
  <c r="E200" i="3"/>
  <c r="E68" i="3"/>
  <c r="E517" i="3"/>
  <c r="E310" i="3"/>
  <c r="E512" i="3"/>
  <c r="E139" i="3"/>
  <c r="E78" i="3"/>
  <c r="E232" i="3"/>
  <c r="E192" i="3"/>
  <c r="E364" i="3"/>
  <c r="E179" i="3"/>
  <c r="E101" i="3"/>
  <c r="E218" i="3"/>
  <c r="E50" i="3"/>
  <c r="E147" i="3"/>
  <c r="E52" i="3"/>
  <c r="E339" i="3"/>
  <c r="E194" i="3"/>
  <c r="E38" i="3"/>
  <c r="E43" i="3"/>
  <c r="E346" i="3"/>
  <c r="E119" i="3"/>
  <c r="E401" i="3"/>
  <c r="E376" i="3"/>
  <c r="E543" i="3"/>
  <c r="E16" i="3"/>
  <c r="E575" i="3"/>
  <c r="E539" i="3"/>
  <c r="E284" i="3"/>
  <c r="E386" i="3"/>
  <c r="E98" i="3"/>
  <c r="E348" i="3"/>
  <c r="E90" i="3"/>
  <c r="E374" i="3"/>
  <c r="E141" i="3"/>
  <c r="E428" i="3"/>
  <c r="E391" i="3"/>
  <c r="AQ6" i="3"/>
  <c r="E299" i="3"/>
  <c r="E137" i="3"/>
  <c r="E455" i="3"/>
  <c r="E60" i="3"/>
  <c r="E276" i="3"/>
  <c r="E108" i="3"/>
  <c r="E483" i="3"/>
  <c r="E440" i="3"/>
  <c r="E393" i="3"/>
  <c r="E329" i="3"/>
  <c r="E286" i="3"/>
  <c r="E222" i="3"/>
  <c r="E127" i="3"/>
  <c r="E307" i="3"/>
  <c r="E521" i="3"/>
  <c r="E259" i="3"/>
  <c r="E520" i="3"/>
  <c r="E487" i="3"/>
  <c r="E167" i="3"/>
  <c r="E35" i="3"/>
  <c r="E80" i="3"/>
  <c r="E265" i="3"/>
  <c r="E20" i="3"/>
  <c r="E289" i="3"/>
  <c r="E36" i="3"/>
  <c r="E325" i="3"/>
  <c r="E234" i="3"/>
  <c r="E100" i="3"/>
  <c r="E473" i="3"/>
  <c r="E333" i="3"/>
  <c r="E202" i="3"/>
  <c r="E40" i="3"/>
  <c r="AH6" i="3"/>
  <c r="E427" i="3"/>
  <c r="E116" i="3"/>
  <c r="R6" i="3"/>
  <c r="E536" i="3"/>
  <c r="E51" i="3"/>
  <c r="E354" i="3"/>
  <c r="E138" i="3"/>
  <c r="E58" i="3"/>
  <c r="E57" i="3"/>
  <c r="E566" i="3"/>
  <c r="E552" i="3"/>
  <c r="E26" i="3"/>
  <c r="E41" i="3"/>
  <c r="E469" i="3"/>
  <c r="E79" i="3"/>
  <c r="E540" i="3"/>
  <c r="E372" i="3"/>
  <c r="E226" i="3"/>
  <c r="E178" i="3"/>
  <c r="E463" i="3"/>
  <c r="J6" i="3"/>
  <c r="E422" i="3"/>
  <c r="E564" i="3"/>
  <c r="E188" i="3"/>
  <c r="E502" i="3"/>
  <c r="E199" i="3"/>
  <c r="E323" i="3"/>
  <c r="Y6" i="3"/>
  <c r="E24" i="3"/>
  <c r="E248" i="3"/>
  <c r="E446" i="3"/>
  <c r="E504" i="3"/>
  <c r="E187" i="3"/>
  <c r="E460" i="3"/>
  <c r="E416" i="3"/>
  <c r="E312" i="3"/>
  <c r="E510" i="3"/>
  <c r="AF6" i="3"/>
  <c r="E34" i="3"/>
  <c r="E96" i="3"/>
  <c r="M7" i="15"/>
  <c r="J6" i="15" s="1"/>
  <c r="J18" i="15" s="1"/>
  <c r="F50" i="15"/>
  <c r="C27" i="15"/>
  <c r="F66" i="15"/>
  <c r="J53" i="15"/>
  <c r="L56" i="15" s="1"/>
  <c r="I54" i="15"/>
  <c r="J57" i="15"/>
  <c r="J55" i="15" s="1"/>
  <c r="J58" i="15" s="1"/>
  <c r="Q50" i="15" s="1"/>
  <c r="F31" i="15"/>
  <c r="C6" i="15"/>
  <c r="C32" i="15" s="1"/>
  <c r="Q71" i="15"/>
  <c r="F71" i="15"/>
  <c r="F51" i="15"/>
  <c r="F68" i="15"/>
  <c r="F65" i="15"/>
  <c r="N59" i="15"/>
  <c r="L59" i="15"/>
  <c r="Q74" i="15" s="1"/>
  <c r="L58" i="15"/>
  <c r="Q60" i="15" s="1"/>
  <c r="M59" i="15"/>
  <c r="F64" i="15"/>
  <c r="E198" i="3"/>
  <c r="E498" i="3"/>
  <c r="E490" i="3"/>
  <c r="E486" i="3"/>
  <c r="E493" i="3"/>
  <c r="E223" i="3"/>
  <c r="E466" i="3"/>
  <c r="E499" i="3"/>
  <c r="E212" i="3"/>
  <c r="E82" i="3"/>
  <c r="E19" i="3"/>
  <c r="E250" i="3"/>
  <c r="E66" i="3"/>
  <c r="E209" i="3"/>
  <c r="E65" i="3"/>
  <c r="E462" i="3"/>
  <c r="E378" i="3"/>
  <c r="E155" i="3"/>
  <c r="E39" i="3"/>
  <c r="E500" i="3"/>
  <c r="E398" i="3"/>
  <c r="E542" i="3"/>
  <c r="E244" i="3"/>
  <c r="E243" i="3"/>
  <c r="E22" i="3"/>
  <c r="E275" i="3"/>
  <c r="AL6" i="3"/>
  <c r="E206" i="3"/>
  <c r="E373" i="3"/>
  <c r="E154" i="3"/>
  <c r="E341" i="3"/>
  <c r="E87" i="3"/>
  <c r="E584" i="3"/>
  <c r="E266" i="3"/>
  <c r="E195" i="3"/>
  <c r="E47" i="3"/>
  <c r="E488" i="3"/>
  <c r="E375" i="3"/>
  <c r="E297" i="3"/>
  <c r="E131" i="3"/>
  <c r="E436" i="3"/>
  <c r="E582" i="3"/>
  <c r="E459" i="3"/>
  <c r="E464" i="3"/>
  <c r="AD6" i="3"/>
  <c r="E149" i="3"/>
  <c r="E360" i="3"/>
  <c r="E174" i="3"/>
  <c r="E534" i="3"/>
  <c r="E412" i="3"/>
  <c r="E494" i="3"/>
  <c r="E59" i="40"/>
  <c r="E197" i="3"/>
  <c r="E470" i="3"/>
  <c r="E342" i="3"/>
  <c r="E408" i="3"/>
  <c r="E129" i="3"/>
  <c r="E225" i="3"/>
  <c r="E251" i="3"/>
  <c r="E94" i="3"/>
  <c r="E308" i="3"/>
  <c r="P6" i="1"/>
  <c r="C13" i="12"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B14" i="74" s="1"/>
  <c r="M14" i="1"/>
  <c r="J10" i="40"/>
  <c r="AC10" i="40" s="1"/>
  <c r="H10" i="39"/>
  <c r="U10" i="39" s="1"/>
  <c r="F10" i="40"/>
  <c r="S10" i="40" s="1"/>
  <c r="J10" i="39"/>
  <c r="W10" i="39" s="1"/>
  <c r="H10" i="40"/>
  <c r="AB10" i="40" s="1"/>
  <c r="C7" i="43"/>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F27" i="68"/>
  <c r="AE8" i="1"/>
  <c r="AE12" i="1"/>
  <c r="AE10" i="1"/>
  <c r="AE7" i="1"/>
  <c r="C16" i="15"/>
  <c r="F41" i="67"/>
  <c r="C16" i="67"/>
  <c r="F28" i="12" l="1"/>
  <c r="C29" i="12" s="1"/>
  <c r="D28" i="12" s="1"/>
  <c r="F27" i="11"/>
  <c r="C29" i="11" s="1"/>
  <c r="D27" i="11" s="1"/>
  <c r="F1" i="67"/>
  <c r="H6" i="3"/>
  <c r="E19" i="43"/>
  <c r="B29" i="1"/>
  <c r="C8" i="68" s="1"/>
  <c r="O6" i="1"/>
  <c r="Q61" i="67"/>
  <c r="C48" i="11"/>
  <c r="C30" i="11"/>
  <c r="F48" i="68"/>
  <c r="C30" i="68"/>
  <c r="C48" i="68"/>
  <c r="F60" i="81"/>
  <c r="C32" i="81"/>
  <c r="F45" i="69"/>
  <c r="F48" i="69"/>
  <c r="C30" i="69"/>
  <c r="C48" i="69"/>
  <c r="M17" i="67"/>
  <c r="C29" i="69"/>
  <c r="D27" i="69" s="1"/>
  <c r="J5" i="67"/>
  <c r="J24" i="67" s="1"/>
  <c r="Q60" i="67"/>
  <c r="J24" i="81"/>
  <c r="J26" i="81"/>
  <c r="L36" i="43"/>
  <c r="P36" i="43" s="1"/>
  <c r="F24" i="81"/>
  <c r="C53" i="81"/>
  <c r="C48" i="81" s="1"/>
  <c r="C10" i="81"/>
  <c r="C5" i="81" s="1"/>
  <c r="F59" i="67"/>
  <c r="M17" i="15"/>
  <c r="C49" i="67"/>
  <c r="F59" i="15"/>
  <c r="Q73" i="15"/>
  <c r="J5" i="15"/>
  <c r="J24" i="15" s="1"/>
  <c r="F1" i="15"/>
  <c r="C49" i="15"/>
  <c r="Q61" i="15"/>
  <c r="AC6" i="3"/>
  <c r="Q52" i="15"/>
  <c r="E65" i="39"/>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M27" i="67"/>
  <c r="F41" i="81"/>
  <c r="AE6" i="1"/>
  <c r="M27" i="15"/>
  <c r="E6" i="3" l="1"/>
  <c r="F69" i="81"/>
  <c r="J29" i="81"/>
  <c r="G19" i="43"/>
  <c r="G17" i="43" s="1"/>
  <c r="O16" i="1"/>
  <c r="L37" i="43"/>
  <c r="O37" i="43" s="1"/>
  <c r="E18" i="43"/>
  <c r="G18" i="43" s="1"/>
  <c r="E17" i="43" s="1"/>
  <c r="C17" i="43" s="1"/>
  <c r="O36" i="43"/>
  <c r="Q36" i="43"/>
  <c r="N36" i="43"/>
  <c r="M36" i="43"/>
  <c r="C48" i="67"/>
  <c r="C66" i="67" s="1"/>
  <c r="C38" i="81"/>
  <c r="C66" i="81"/>
  <c r="C60" i="81"/>
  <c r="C24" i="81"/>
  <c r="C48" i="15"/>
  <c r="C66" i="15"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D10" i="69"/>
  <c r="C34" i="69"/>
  <c r="D10" i="68"/>
  <c r="C17" i="67"/>
  <c r="C17" i="81"/>
  <c r="F41" i="15"/>
  <c r="C14" i="67"/>
  <c r="C17" i="15"/>
  <c r="F69" i="15" l="1"/>
  <c r="E7" i="70"/>
  <c r="D5" i="43"/>
  <c r="C41" i="43" s="1"/>
  <c r="C5" i="43"/>
  <c r="Q37" i="43"/>
  <c r="M37" i="43"/>
  <c r="N37" i="43"/>
  <c r="P37" i="43"/>
  <c r="C60" i="15"/>
  <c r="C60" i="67"/>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M21" i="81"/>
  <c r="C14" i="15"/>
  <c r="F35" i="81"/>
  <c r="C40" i="43" l="1"/>
  <c r="E40" i="43" s="1"/>
  <c r="C39" i="43"/>
  <c r="G39" i="43" s="1"/>
  <c r="I39" i="43" s="1"/>
  <c r="C37" i="43"/>
  <c r="E37" i="43" s="1"/>
  <c r="C38" i="43"/>
  <c r="G38" i="43" s="1"/>
  <c r="I38" i="43" s="1"/>
  <c r="C42" i="43"/>
  <c r="E42" i="43" s="1"/>
  <c r="T11" i="43"/>
  <c r="V11" i="43" s="1"/>
  <c r="T14" i="43"/>
  <c r="V14" i="43" s="1"/>
  <c r="T4" i="43"/>
  <c r="V4" i="43" s="1"/>
  <c r="T5" i="43"/>
  <c r="V5" i="43" s="1"/>
  <c r="T9" i="43"/>
  <c r="V9" i="43" s="1"/>
  <c r="T12" i="43"/>
  <c r="V12" i="43" s="1"/>
  <c r="T3" i="43"/>
  <c r="V3" i="43" s="1"/>
  <c r="T15" i="43"/>
  <c r="V15" i="43" s="1"/>
  <c r="T7" i="43"/>
  <c r="V7" i="43" s="1"/>
  <c r="T10" i="43"/>
  <c r="V10" i="43" s="1"/>
  <c r="T2" i="43"/>
  <c r="V2" i="43" s="1"/>
  <c r="T13" i="43"/>
  <c r="V13" i="43" s="1"/>
  <c r="T16" i="43"/>
  <c r="V16" i="43" s="1"/>
  <c r="T8" i="43"/>
  <c r="V8" i="43" s="1"/>
  <c r="T6" i="43"/>
  <c r="V6" i="43" s="1"/>
  <c r="C18" i="81"/>
  <c r="C15" i="81"/>
  <c r="G41" i="43"/>
  <c r="I41" i="43" s="1"/>
  <c r="E41" i="43"/>
  <c r="G40" i="43"/>
  <c r="I40" i="43" s="1"/>
  <c r="J20" i="81"/>
  <c r="J17" i="81" s="1"/>
  <c r="F63" i="81"/>
  <c r="C62" i="81" s="1"/>
  <c r="C59" i="81" s="1"/>
  <c r="C34" i="81"/>
  <c r="C31"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G37" i="43" l="1"/>
  <c r="I37" i="43" s="1"/>
  <c r="C11" i="39"/>
  <c r="G3" i="43"/>
  <c r="E39" i="43"/>
  <c r="G42" i="43"/>
  <c r="I42" i="43" s="1"/>
  <c r="E38" i="43"/>
  <c r="C19" i="81"/>
  <c r="C20" i="81" s="1"/>
  <c r="C26" i="81" s="1"/>
  <c r="F7" i="21"/>
  <c r="S7" i="21" s="1"/>
  <c r="J7" i="21"/>
  <c r="W7" i="21" s="1"/>
  <c r="D7" i="71"/>
  <c r="C6" i="71"/>
  <c r="C23" i="67"/>
  <c r="C29" i="67" s="1"/>
  <c r="J59" i="67" s="1"/>
  <c r="J60" i="67" s="1"/>
  <c r="Q48" i="67" s="1"/>
  <c r="C19" i="15"/>
  <c r="C20" i="15" s="1"/>
  <c r="C26" i="15" s="1"/>
  <c r="C33" i="68"/>
  <c r="F35" i="9"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AC7" i="21" l="1"/>
  <c r="V48" i="21" s="1"/>
  <c r="I48" i="21" s="1"/>
  <c r="AA7" i="21"/>
  <c r="R48" i="21" s="1"/>
  <c r="C39" i="68"/>
  <c r="C46" i="68" s="1"/>
  <c r="C45" i="68" s="1"/>
  <c r="J11" i="39"/>
  <c r="F11" i="39"/>
  <c r="H11" i="39"/>
  <c r="J26" i="43"/>
  <c r="E26" i="43"/>
  <c r="N94" i="46"/>
  <c r="Z7" i="43"/>
  <c r="N370" i="46"/>
  <c r="H26" i="43"/>
  <c r="F26" i="43"/>
  <c r="G26" i="43"/>
  <c r="B116" i="43"/>
  <c r="C23" i="81"/>
  <c r="C29" i="8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M21" i="67"/>
  <c r="M21" i="15"/>
  <c r="F35" i="67"/>
  <c r="C43" i="68" l="1"/>
  <c r="C41" i="68" s="1"/>
  <c r="C49" i="68" s="1"/>
  <c r="C51" i="68"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AB11" i="39"/>
  <c r="U11" i="39"/>
  <c r="AA11" i="39"/>
  <c r="S11" i="39"/>
  <c r="D26" i="43"/>
  <c r="C25" i="43" s="1"/>
  <c r="W11" i="39"/>
  <c r="AC11" i="39"/>
  <c r="J14" i="81"/>
  <c r="C13" i="81"/>
  <c r="Q49" i="81"/>
  <c r="J59" i="81"/>
  <c r="J60" i="81" s="1"/>
  <c r="C57" i="81"/>
  <c r="C64" i="81" s="1"/>
  <c r="C36" i="81"/>
  <c r="L57" i="81"/>
  <c r="L60" i="81" s="1"/>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8" i="43" l="1"/>
  <c r="D116" i="43"/>
  <c r="C33" i="43"/>
  <c r="Q48" i="81"/>
  <c r="L46" i="81"/>
  <c r="C37" i="81"/>
  <c r="C30" i="81" s="1"/>
  <c r="C39" i="81" s="1"/>
  <c r="Q70" i="81"/>
  <c r="C75" i="81"/>
  <c r="C56" i="81"/>
  <c r="C65" i="81" s="1"/>
  <c r="C58" i="81" s="1"/>
  <c r="C67" i="81" s="1"/>
  <c r="C68" i="81" s="1"/>
  <c r="J22" i="81"/>
  <c r="J13" i="81"/>
  <c r="J23" i="81" s="1"/>
  <c r="Q66" i="81"/>
  <c r="Q57"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34" i="43" l="1"/>
  <c r="E34" i="43" s="1"/>
  <c r="C31" i="43" s="1"/>
  <c r="E33" i="43"/>
  <c r="C30" i="43" s="1"/>
  <c r="Q67" i="81"/>
  <c r="C71" i="81"/>
  <c r="Q69" i="81"/>
  <c r="Q68" i="81" s="1"/>
  <c r="C40" i="81"/>
  <c r="C46" i="81" s="1"/>
  <c r="C80" i="81"/>
  <c r="C79" i="81" s="1"/>
  <c r="J16" i="81"/>
  <c r="J25" i="81"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E6" i="76"/>
  <c r="Q69" i="15" l="1"/>
  <c r="Q68" i="15" s="1"/>
  <c r="I39" i="15"/>
  <c r="E2" i="76"/>
  <c r="B2" i="43"/>
  <c r="Q65" i="81"/>
  <c r="Q75" i="81" s="1"/>
  <c r="Q47" i="81"/>
  <c r="Q53" i="81" s="1"/>
  <c r="C43" i="81"/>
  <c r="B2" i="81"/>
  <c r="B3" i="81" s="1"/>
  <c r="Q56" i="81"/>
  <c r="Q62" i="81" s="1"/>
  <c r="C83" i="81"/>
  <c r="C82" i="8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4"/>
  <c r="D2" i="37"/>
  <c r="B6" i="76"/>
  <c r="B2" i="76" l="1"/>
  <c r="B3" i="76" s="1"/>
  <c r="B3"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1" i="1"/>
  <c r="AO8" i="1"/>
  <c r="AO10" i="1"/>
  <c r="AO6" i="1"/>
  <c r="AO7" i="1"/>
  <c r="AO12" i="1"/>
  <c r="AO9" i="1"/>
  <c r="D82" i="15" l="1"/>
  <c r="D83" i="15" s="1"/>
  <c r="D79" i="15"/>
  <c r="D80" i="15"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C7" i="68" s="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l="1"/>
  <c r="B2" i="68" s="1"/>
  <c r="C19" i="9"/>
  <c r="C57" i="68" l="1"/>
  <c r="C56" i="68" s="1"/>
  <c r="C102" i="9"/>
  <c r="G19" i="9"/>
  <c r="F34" i="9" s="1"/>
  <c r="C21" i="9"/>
  <c r="D22" i="9"/>
  <c r="B3" i="68"/>
  <c r="C20" i="9"/>
  <c r="G21" i="9" l="1"/>
  <c r="D14" i="74"/>
  <c r="G14" i="74" s="1"/>
  <c r="B6" i="74" s="1"/>
  <c r="D6" i="74" s="1"/>
  <c r="G20" i="9"/>
  <c r="C32" i="9" s="1"/>
  <c r="H118" i="9" s="1"/>
  <c r="H101" i="9" s="1"/>
  <c r="M48" i="9" s="1"/>
  <c r="C103" i="9"/>
  <c r="B5" i="74" l="1"/>
  <c r="D5" i="74" s="1"/>
  <c r="F14" i="74"/>
  <c r="E14" i="74"/>
  <c r="I118" i="9"/>
  <c r="C105" i="9" s="1"/>
  <c r="D5" i="53"/>
  <c r="B20" i="72" s="1"/>
  <c r="H4" i="52"/>
  <c r="D45" i="9"/>
  <c r="D53" i="9" s="1"/>
  <c r="H119" i="9"/>
  <c r="H5" i="52" s="1"/>
  <c r="H107" i="9"/>
  <c r="D13" i="53" s="1"/>
  <c r="C104" i="9"/>
  <c r="D6" i="53" l="1"/>
  <c r="B22" i="72" s="1"/>
  <c r="H102" i="9"/>
  <c r="C5" i="74" s="1"/>
  <c r="I4" i="52"/>
  <c r="D55" i="9"/>
  <c r="M53" i="9" s="1"/>
  <c r="C85" i="9"/>
  <c r="C64" i="9"/>
  <c r="C63" i="9" s="1"/>
  <c r="C67" i="9" s="1"/>
  <c r="C68" i="9" s="1"/>
  <c r="D54" i="9" s="1"/>
  <c r="C72" i="9"/>
  <c r="C93" i="9"/>
  <c r="C86" i="9" s="1"/>
  <c r="C78" i="9"/>
  <c r="C73" i="9" s="1"/>
  <c r="D52" i="9"/>
  <c r="D122" i="9"/>
  <c r="D8" i="52" s="1"/>
  <c r="B30" i="72"/>
  <c r="D14" i="53"/>
  <c r="B32" i="72" s="1"/>
  <c r="H108" i="9" l="1"/>
  <c r="C6" i="74" s="1"/>
  <c r="D7" i="53"/>
  <c r="B21" i="72" s="1"/>
  <c r="C95" i="9"/>
  <c r="C96" i="9" s="1"/>
  <c r="E96" i="9" s="1"/>
  <c r="E97" i="9" s="1"/>
  <c r="C79" i="9"/>
  <c r="C80" i="9" s="1"/>
  <c r="E80" i="9" s="1"/>
  <c r="E81" i="9" s="1"/>
  <c r="D59" i="9"/>
  <c r="M55" i="9" s="1"/>
  <c r="D123" i="9"/>
  <c r="D9" i="52" s="1"/>
  <c r="D15" i="53" l="1"/>
  <c r="B31" i="72" s="1"/>
  <c r="C97" i="9"/>
  <c r="D58" i="9" s="1"/>
  <c r="D56" i="9" s="1"/>
  <c r="M54" i="9" s="1"/>
  <c r="N57" i="9" s="1"/>
  <c r="N59" i="9" s="1"/>
  <c r="C81" i="9"/>
  <c r="N58" i="9" l="1"/>
  <c r="P57" i="9"/>
  <c r="N61" i="9"/>
  <c r="N60" i="9"/>
  <c r="C35" i="9" l="1"/>
  <c r="D35" i="9" s="1"/>
  <c r="F118" i="9" l="1"/>
  <c r="C34" i="9"/>
  <c r="D34" i="9" s="1"/>
  <c r="D118" i="9" l="1"/>
  <c r="D119" i="9" s="1"/>
  <c r="D5" i="52" s="1"/>
  <c r="B49" i="72" s="1"/>
  <c r="F119" i="9"/>
  <c r="F5" i="52" s="1"/>
  <c r="B53" i="72" s="1"/>
  <c r="F4" i="52"/>
  <c r="B51" i="72" s="1"/>
  <c r="G118" i="9"/>
  <c r="D4" i="52" l="1"/>
  <c r="B47"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<sst xmlns="http://schemas.openxmlformats.org/spreadsheetml/2006/main" count="8709" uniqueCount="3623">
  <si>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</si>
  <si>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</si>
  <si>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</si>
  <si>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</si>
  <si>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</si>
  <si>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</si>
  <si>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</si>
  <si>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</si>
  <si>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</si>
  <si>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</si>
  <si>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</si>
  <si>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</si>
  <si>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</si>
  <si>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</si>
  <si>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</si>
  <si>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</si>
  <si>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</si>
  <si>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</si>
  <si>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</si>
  <si>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</si>
  <si>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</si>
  <si>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</si>
  <si>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</si>
  <si>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</si>
  <si>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</si>
  <si>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</si>
  <si>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</si>
  <si>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</si>
  <si>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</si>
  <si>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</si>
  <si>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</si>
  <si>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</si>
  <si>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</si>
  <si>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</si>
  <si>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</si>
  <si>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</si>
  <si>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</si>
  <si>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</si>
  <si>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</si>
  <si>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</si>
  <si>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</si>
  <si>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</si>
  <si>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</si>
  <si>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</si>
  <si>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</si>
  <si>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</si>
  <si>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</si>
  <si>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</si>
  <si>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</si>
  <si>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</si>
  <si>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</si>
  <si>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</si>
  <si>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</si>
  <si>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</si>
  <si>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</si>
  <si>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</si>
  <si>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</si>
  <si>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</si>
  <si>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</si>
  <si>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</si>
  <si>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</si>
  <si>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</si>
  <si>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</si>
  <si>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</si>
  <si>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</si>
  <si>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</si>
  <si>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</si>
  <si>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</si>
  <si>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</si>
  <si>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</si>
  <si>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</si>
  <si>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</si>
  <si>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</si>
  <si>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</si>
  <si>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</si>
  <si>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</si>
  <si>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</si>
  <si>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</si>
  <si>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</si>
  <si>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</si>
  <si>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</si>
  <si>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</si>
  <si>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</si>
  <si>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</si>
  <si>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</si>
  <si>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</si>
  <si>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</si>
  <si>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</si>
  <si>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</si>
  <si>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</si>
  <si>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</si>
  <si>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</si>
  <si>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</si>
  <si>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</si>
  <si>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</si>
  <si>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</si>
  <si>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</si>
  <si>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</si>
  <si>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</si>
  <si>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</si>
  <si>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</si>
  <si>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</si>
  <si>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</si>
  <si>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</si>
  <si>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</si>
  <si>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</si>
  <si>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</si>
  <si>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</si>
  <si>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</si>
  <si>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</si>
  <si>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</si>
  <si>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</si>
  <si>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</si>
  <si>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</si>
  <si>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</si>
  <si>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</si>
  <si>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</si>
  <si>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</si>
  <si>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</si>
  <si>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</si>
  <si>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</si>
  <si>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</si>
  <si>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</si>
  <si>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</si>
  <si>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</si>
  <si>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</si>
  <si>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</si>
  <si>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</si>
  <si>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</si>
  <si>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</si>
  <si>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</si>
  <si>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</si>
  <si>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</si>
  <si>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</si>
  <si>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</si>
  <si>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</si>
  <si>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</si>
  <si>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</si>
  <si>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</si>
  <si>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</si>
  <si>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</si>
  <si>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</si>
  <si>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</si>
  <si>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</si>
  <si>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</si>
  <si>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</si>
  <si>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</si>
  <si>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</si>
  <si>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</si>
  <si>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</si>
  <si>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</si>
  <si>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</si>
  <si>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</si>
  <si>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</si>
  <si>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</si>
  <si>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</si>
  <si>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</si>
  <si>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</si>
  <si>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</si>
  <si>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</si>
  <si>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</si>
  <si>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</si>
  <si>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</si>
  <si>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</si>
  <si>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</si>
  <si>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</si>
  <si>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</si>
  <si>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</si>
  <si>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</si>
  <si>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</si>
  <si>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</si>
  <si>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</si>
  <si>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</si>
  <si>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</si>
  <si>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</si>
  <si>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</si>
  <si>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</si>
  <si>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</si>
  <si>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</si>
  <si>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</si>
  <si>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</si>
  <si>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</si>
  <si>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</si>
  <si>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</si>
  <si>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</si>
  <si>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</si>
  <si>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</si>
  <si>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</si>
  <si>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</si>
  <si>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</si>
  <si>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</si>
  <si>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</si>
  <si>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</si>
  <si>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</si>
  <si>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</si>
  <si>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</si>
  <si>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</si>
  <si>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</si>
  <si>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</si>
  <si>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</si>
  <si>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</si>
  <si>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</si>
  <si>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</si>
  <si>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</si>
  <si>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</si>
  <si>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</si>
  <si>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</si>
  <si>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</si>
  <si>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</si>
  <si>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</si>
  <si>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</si>
  <si>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</si>
  <si>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</si>
  <si>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</si>
  <si>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</si>
  <si>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</si>
  <si>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</si>
  <si>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</si>
  <si>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</si>
  <si>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</si>
  <si>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</si>
  <si>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</si>
  <si>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</si>
  <si>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</si>
  <si>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</si>
  <si>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</si>
  <si>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</si>
  <si>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</si>
  <si>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</si>
  <si>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</si>
  <si>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</si>
  <si>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</si>
  <si>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</si>
  <si>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</si>
  <si>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</si>
  <si>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</si>
  <si>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</si>
  <si>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</si>
  <si>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</si>
  <si>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</si>
  <si>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</si>
  <si>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</si>
  <si>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</si>
  <si>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</si>
  <si>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</si>
  <si>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</si>
  <si>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</si>
  <si>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</si>
  <si>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</si>
  <si>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</si>
  <si>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</si>
  <si>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</si>
  <si>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</si>
  <si>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</si>
  <si>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</si>
  <si>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</si>
  <si>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</si>
  <si>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</si>
  <si>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</si>
  <si>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</si>
  <si>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</si>
  <si>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</si>
  <si>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</si>
  <si>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</si>
  <si>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</si>
  <si>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</si>
  <si>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</si>
  <si>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</si>
  <si>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</si>
  <si>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</si>
  <si>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</si>
  <si>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</si>
  <si>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</si>
  <si>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</si>
  <si>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</si>
  <si>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</si>
  <si>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</si>
  <si>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</si>
  <si>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</si>
  <si>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</si>
  <si>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</si>
  <si>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</si>
  <si>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</si>
  <si>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</si>
  <si>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</si>
  <si>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</si>
  <si>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</si>
  <si>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</si>
  <si>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</si>
  <si>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</si>
  <si>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</si>
  <si>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</si>
  <si>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</si>
  <si>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</si>
  <si>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</si>
  <si>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</si>
  <si>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</si>
  <si>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</si>
  <si>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</si>
  <si>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</si>
  <si>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</si>
  <si>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</si>
  <si>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</si>
  <si>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</si>
  <si>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</si>
  <si>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</si>
  <si>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</si>
  <si>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</si>
  <si>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</si>
  <si>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</si>
  <si>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</si>
  <si>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</si>
  <si>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</si>
  <si>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</si>
  <si>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</si>
  <si>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</si>
  <si>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</si>
  <si>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</si>
  <si>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</si>
  <si>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</si>
  <si>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</si>
  <si>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</si>
  <si>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</si>
  <si>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</si>
  <si>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</si>
  <si>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</si>
  <si>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</si>
  <si>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</si>
  <si>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</si>
  <si>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</si>
  <si>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</si>
  <si>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</si>
  <si>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</si>
  <si>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</si>
  <si>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</si>
  <si>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</si>
  <si>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</si>
  <si>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</si>
  <si>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</si>
  <si>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</si>
  <si>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</si>
  <si>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</si>
  <si>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</si>
  <si>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</si>
  <si>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</si>
  <si>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</si>
  <si>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</si>
  <si>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</si>
  <si>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</si>
  <si>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</si>
  <si>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</si>
  <si>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</si>
  <si>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</si>
  <si>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</si>
  <si>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</si>
  <si>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</si>
  <si>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</si>
  <si>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</si>
  <si>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</si>
  <si>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</si>
  <si>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</si>
  <si>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</si>
  <si>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</si>
  <si>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</si>
  <si>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</si>
  <si>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</si>
  <si>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</si>
  <si>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</si>
  <si>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</si>
  <si>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</si>
  <si>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</si>
  <si>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</si>
  <si>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</si>
  <si>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</si>
  <si>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</si>
  <si>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</si>
  <si>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</si>
  <si>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</si>
  <si>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</si>
  <si>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</si>
  <si>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</si>
  <si>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</si>
  <si>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</si>
  <si>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</si>
  <si>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</si>
  <si>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</si>
  <si>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</si>
  <si>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</si>
  <si>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</si>
  <si>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</si>
  <si>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</si>
  <si>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</si>
  <si>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</si>
  <si>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</si>
  <si>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</si>
  <si>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</si>
  <si>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</si>
  <si>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</si>
  <si>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</si>
  <si>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</si>
  <si>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</si>
  <si>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</si>
  <si>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</si>
  <si>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</si>
  <si>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</si>
  <si>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</si>
  <si>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</si>
  <si>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</si>
  <si>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</si>
  <si>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</si>
  <si>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</si>
  <si>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</si>
  <si>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</si>
  <si>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</si>
  <si>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</si>
  <si>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</si>
  <si>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</si>
  <si>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</si>
  <si>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</si>
  <si>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</si>
  <si>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</si>
  <si>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</si>
  <si>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</si>
  <si>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</si>
  <si>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</si>
  <si>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</si>
  <si>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</si>
  <si>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</si>
  <si>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</si>
  <si>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</si>
  <si>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</si>
  <si>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</si>
  <si>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</si>
  <si>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</si>
  <si>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</si>
  <si>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</si>
  <si>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</si>
  <si>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</si>
  <si>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</si>
  <si>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</si>
  <si>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</si>
  <si>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</si>
  <si>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</si>
  <si>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</si>
  <si>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</si>
  <si>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</si>
  <si>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</si>
  <si>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</si>
  <si>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</si>
  <si>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</si>
  <si>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</si>
  <si>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</si>
  <si>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</si>
  <si>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</si>
  <si>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</si>
  <si>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</si>
  <si>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</si>
  <si>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</si>
  <si>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</si>
  <si>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</si>
  <si>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</si>
  <si>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</si>
  <si>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</si>
  <si>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</si>
  <si>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</si>
  <si>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</si>
  <si>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</si>
  <si>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</si>
  <si>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</si>
  <si>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</si>
  <si>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</si>
  <si>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</si>
  <si>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</si>
  <si>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</si>
  <si>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</si>
  <si>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</si>
  <si>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</si>
  <si>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</si>
  <si>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</si>
  <si>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</si>
  <si>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</si>
  <si>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</si>
  <si>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</si>
  <si>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</si>
  <si>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</si>
  <si>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</si>
  <si>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</si>
  <si>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</si>
  <si>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</si>
  <si>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</si>
  <si>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</si>
  <si>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</si>
  <si>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</si>
  <si>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</si>
  <si>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</si>
  <si>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</si>
  <si>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</si>
  <si>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</si>
  <si>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</si>
  <si>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</si>
  <si>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</si>
  <si>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</si>
  <si>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</si>
  <si>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</si>
  <si>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</si>
  <si>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</si>
  <si>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</si>
  <si>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</si>
  <si>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</si>
  <si>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</si>
  <si>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</si>
  <si>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</si>
  <si>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</si>
  <si>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</si>
  <si>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</si>
  <si>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</si>
  <si>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</si>
  <si>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</si>
  <si>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</si>
  <si>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</si>
  <si>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</si>
  <si>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</si>
  <si>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</si>
  <si>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</si>
  <si>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</si>
  <si>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</si>
  <si>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</si>
  <si>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</si>
  <si>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</si>
  <si>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</si>
  <si>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</si>
  <si>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</si>
  <si>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</si>
  <si>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</si>
  <si>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</si>
  <si>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</si>
  <si>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</si>
  <si>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</si>
  <si>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</si>
  <si>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</si>
  <si>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</si>
  <si>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</si>
  <si>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</si>
  <si>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</si>
  <si>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</si>
  <si>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</si>
  <si>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</si>
  <si>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</si>
  <si>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</si>
  <si>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</si>
  <si>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</si>
  <si>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</si>
  <si>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</si>
  <si>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</si>
  <si>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</si>
  <si>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</si>
  <si>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</si>
  <si>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</si>
  <si>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</si>
  <si>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</si>
  <si>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</si>
  <si>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</si>
  <si>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</si>
  <si>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</si>
  <si>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</si>
  <si>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</si>
  <si>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</si>
  <si>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</si>
  <si>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</si>
  <si>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</si>
  <si>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</si>
  <si>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</si>
  <si>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</si>
  <si>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</si>
  <si>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</si>
  <si>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</si>
  <si>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</si>
  <si>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</si>
  <si>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</si>
  <si>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</si>
  <si>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</si>
  <si>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</si>
  <si>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</si>
  <si>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</si>
  <si>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</si>
  <si>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</si>
  <si>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</si>
  <si>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</si>
  <si>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</si>
  <si>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</si>
  <si>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</si>
  <si>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</si>
  <si>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</si>
  <si>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</si>
  <si>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</si>
  <si>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</si>
  <si>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</si>
  <si>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</si>
  <si>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</si>
  <si>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</si>
  <si>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</si>
  <si>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</si>
  <si>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</si>
  <si>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</si>
  <si>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</si>
  <si>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</si>
  <si>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</si>
  <si>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</si>
  <si>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</si>
  <si>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</si>
  <si>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</si>
  <si>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</si>
  <si>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</si>
  <si>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</si>
  <si>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</si>
  <si>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</si>
  <si>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</si>
  <si>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</si>
  <si>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</si>
  <si>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</si>
  <si>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</si>
  <si>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</si>
  <si>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</si>
  <si>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</si>
  <si>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</si>
  <si>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</si>
  <si>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</si>
  <si>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</si>
  <si>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</si>
  <si>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</si>
  <si>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</si>
  <si>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</si>
  <si>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</si>
  <si>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</si>
  <si>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</si>
  <si>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</si>
  <si>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</si>
  <si>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</si>
  <si>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</si>
  <si>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</si>
  <si>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</si>
  <si>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</si>
  <si>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</si>
  <si>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</si>
  <si>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</si>
  <si>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</si>
  <si>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</si>
  <si>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</si>
  <si>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</si>
  <si>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</si>
  <si>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</si>
  <si>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</si>
  <si>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</si>
  <si>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</si>
  <si>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</si>
  <si>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</si>
  <si>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</si>
  <si>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</si>
  <si>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</si>
  <si>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</si>
  <si>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</si>
  <si>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</si>
  <si>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</si>
  <si>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</si>
  <si>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</si>
  <si>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</si>
  <si>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</si>
  <si>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</si>
  <si>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</si>
  <si>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</si>
  <si>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</si>
  <si>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</si>
  <si>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</si>
  <si>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</si>
  <si>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</si>
  <si>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</si>
  <si>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</si>
  <si>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</si>
  <si>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</si>
  <si>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</si>
  <si>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</si>
  <si>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</si>
  <si>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</si>
  <si>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</si>
  <si>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</si>
  <si>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</si>
  <si>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</si>
  <si>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</si>
  <si>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</si>
  <si>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</si>
  <si>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</si>
  <si>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</si>
  <si>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</si>
  <si>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</si>
  <si>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</si>
  <si>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</si>
  <si>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</si>
  <si>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</si>
  <si>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</si>
  <si>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</si>
  <si>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</si>
  <si>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</si>
  <si>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</si>
  <si>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</si>
  <si>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</si>
  <si>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</si>
  <si>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</si>
  <si>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</si>
  <si>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</si>
  <si>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</si>
  <si>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</si>
  <si>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</si>
  <si>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</si>
  <si>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</si>
  <si>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</si>
  <si>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</si>
  <si>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</si>
  <si>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</si>
  <si>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</si>
  <si>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</si>
  <si>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</si>
  <si>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</si>
  <si>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</si>
  <si>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</si>
  <si>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</si>
  <si>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</si>
  <si>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</si>
  <si>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</si>
  <si>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</si>
  <si>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</si>
  <si>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</si>
  <si>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</si>
  <si>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</si>
  <si>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</si>
  <si>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</si>
  <si>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</si>
  <si>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</si>
  <si>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</si>
  <si>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</si>
  <si>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</si>
  <si>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</si>
  <si>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</si>
  <si>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</si>
  <si>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</si>
  <si>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</si>
  <si>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</si>
  <si>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</si>
  <si>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</si>
  <si>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</si>
  <si>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</si>
  <si>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</si>
  <si>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</si>
  <si>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</si>
  <si>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</si>
  <si>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</si>
  <si>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</si>
  <si>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</si>
  <si>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</si>
  <si>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</si>
  <si>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</si>
  <si>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</si>
  <si>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</si>
  <si>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</si>
  <si>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</si>
  <si>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</si>
  <si>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</si>
  <si>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</si>
  <si>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</si>
  <si>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</si>
  <si>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</si>
  <si>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</si>
  <si>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</si>
  <si>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</si>
  <si>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</si>
  <si>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</si>
  <si>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</si>
  <si>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</si>
  <si>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</si>
  <si>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</si>
  <si>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</si>
  <si>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</si>
  <si>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</si>
  <si>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</si>
  <si>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</si>
  <si>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</si>
  <si>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</si>
  <si>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</si>
  <si>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</si>
  <si>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</si>
  <si>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</si>
  <si>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</si>
  <si>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</si>
  <si>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</si>
  <si>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</si>
  <si>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</si>
  <si>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</si>
  <si>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</si>
  <si>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</si>
  <si>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</si>
  <si>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</si>
  <si>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</si>
  <si>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</si>
  <si>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</si>
  <si>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</si>
  <si>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</si>
  <si>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</si>
  <si>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</si>
  <si>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</si>
  <si>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</si>
  <si>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</si>
  <si>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</si>
  <si>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</si>
  <si>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</si>
  <si>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</si>
  <si>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</si>
  <si>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</si>
  <si>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</si>
  <si>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</si>
  <si>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</si>
  <si>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</si>
  <si>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</si>
  <si>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</si>
  <si>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</si>
  <si>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</si>
  <si>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</si>
  <si>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</si>
  <si>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</si>
  <si>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</si>
  <si>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</si>
  <si>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</si>
  <si>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</si>
  <si>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</si>
  <si>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</si>
  <si>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</si>
  <si>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</si>
  <si>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</si>
  <si>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</si>
  <si>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</si>
  <si>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</si>
  <si>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</si>
  <si>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</si>
  <si>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</si>
  <si>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</si>
  <si>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</si>
  <si>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</si>
  <si>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</si>
  <si>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</si>
  <si>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</si>
  <si>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</si>
  <si>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</si>
  <si>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</si>
  <si>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</si>
  <si>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</si>
  <si>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</si>
  <si>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</si>
  <si>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</si>
  <si>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</si>
  <si>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</si>
  <si>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</si>
  <si>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</si>
  <si>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</si>
  <si>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</si>
  <si>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</si>
  <si>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</si>
  <si>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</si>
  <si>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</si>
  <si>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</si>
  <si>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</si>
  <si>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</si>
  <si>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</si>
  <si>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</si>
  <si>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</si>
  <si>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</si>
  <si>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</si>
  <si>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</si>
  <si>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</si>
  <si>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</si>
  <si>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</si>
  <si>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</si>
  <si>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</si>
  <si>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</si>
  <si>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</si>
  <si>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</si>
  <si>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</si>
  <si>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</si>
  <si>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</si>
  <si>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</si>
  <si>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</si>
  <si>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</si>
  <si>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</si>
  <si>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</si>
  <si>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</si>
  <si>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</si>
  <si>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</si>
  <si>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</si>
  <si>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</si>
  <si>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</si>
  <si>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</si>
  <si>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</si>
  <si>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</si>
  <si>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</si>
  <si>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</si>
  <si>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</si>
  <si>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</si>
  <si>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</si>
  <si>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</si>
  <si>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</si>
  <si>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</si>
  <si>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</si>
  <si>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</si>
  <si>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</si>
  <si>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</si>
  <si>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</si>
  <si>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</si>
  <si>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</si>
  <si>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</si>
  <si>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</si>
  <si>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</si>
  <si>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</si>
  <si>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</si>
  <si>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</si>
  <si>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</si>
  <si>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</si>
  <si>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</si>
  <si>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</si>
  <si>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</si>
  <si>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</si>
  <si>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</si>
  <si>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</si>
  <si>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</si>
  <si>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</si>
  <si>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</si>
  <si>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</si>
  <si>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</si>
  <si>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</si>
  <si>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</si>
  <si>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</si>
  <si>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</si>
  <si>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</si>
  <si>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</si>
  <si>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</si>
  <si>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</si>
  <si>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</si>
  <si>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</si>
  <si>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</si>
  <si>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</si>
  <si>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</si>
  <si>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</si>
  <si>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</si>
  <si>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</si>
  <si>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</si>
  <si>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</si>
  <si>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</si>
  <si>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</si>
  <si>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</si>
  <si>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</si>
  <si>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</si>
  <si>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</si>
  <si>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</si>
  <si>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</si>
  <si>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</si>
  <si>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</si>
  <si>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</si>
  <si>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</si>
  <si>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</si>
  <si>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</si>
  <si>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</si>
  <si>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</si>
  <si>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</si>
  <si>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</si>
  <si>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</si>
  <si>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</si>
  <si>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</si>
  <si>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</si>
  <si>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</si>
  <si>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</si>
  <si>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</si>
  <si>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</si>
  <si>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</si>
  <si>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</si>
  <si>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</si>
  <si>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</si>
  <si>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</si>
  <si>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</si>
  <si>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</si>
  <si>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</si>
  <si>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</si>
  <si>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</si>
  <si>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</si>
  <si>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</si>
  <si>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</si>
  <si>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</si>
  <si>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</si>
  <si>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</si>
  <si>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</si>
  <si>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</si>
  <si>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</si>
  <si>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</si>
  <si>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</si>
  <si>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</si>
  <si>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</si>
  <si>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</si>
  <si>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</si>
  <si>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</si>
  <si>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</si>
  <si>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</si>
  <si>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</si>
  <si>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</si>
  <si>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</si>
  <si>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</si>
  <si>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</si>
  <si>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</si>
  <si>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</si>
  <si>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</si>
  <si>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</si>
  <si>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</si>
  <si>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</si>
  <si>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</si>
  <si>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</si>
  <si>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</si>
  <si>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</si>
  <si>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</si>
  <si>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</si>
  <si>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</si>
  <si>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</si>
  <si>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</si>
  <si>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</si>
  <si>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</si>
  <si>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</si>
  <si>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</si>
  <si>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</si>
  <si>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</si>
  <si>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</si>
  <si>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</si>
  <si>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</si>
  <si>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</si>
  <si>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</si>
  <si>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</si>
  <si>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</si>
  <si>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</si>
  <si>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</si>
  <si>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</si>
  <si>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</si>
  <si>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</si>
  <si>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</si>
  <si>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</si>
  <si>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</si>
  <si>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</si>
  <si>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</si>
  <si>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</si>
  <si>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</si>
  <si>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</si>
  <si>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</si>
  <si>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</si>
  <si>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</si>
  <si>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</si>
  <si>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</si>
  <si>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</si>
  <si>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</si>
  <si>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</si>
  <si>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</si>
  <si>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</si>
  <si>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</si>
  <si>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</si>
  <si>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</si>
  <si>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</si>
  <si>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</si>
  <si>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</si>
  <si>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</si>
  <si>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</si>
  <si>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</si>
  <si>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</si>
  <si>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</si>
  <si>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</si>
  <si>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</si>
  <si>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</si>
  <si>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</si>
  <si>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</si>
  <si>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</si>
  <si>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</si>
  <si>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</si>
  <si>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</si>
  <si>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</si>
  <si>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</si>
  <si>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</si>
  <si>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</si>
  <si>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</si>
  <si>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</si>
  <si>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</si>
  <si>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</si>
  <si>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</si>
  <si>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</si>
  <si>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</si>
  <si>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</si>
  <si>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</si>
  <si>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</si>
  <si>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</si>
  <si>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</si>
  <si>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</si>
  <si>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</si>
  <si>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</si>
  <si>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</si>
  <si>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</si>
  <si>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</si>
  <si>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</si>
  <si>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</si>
  <si>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</si>
  <si>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</si>
  <si>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</si>
  <si>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</si>
  <si>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</si>
  <si>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</si>
  <si>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</si>
  <si>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</si>
  <si>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</si>
  <si>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</si>
  <si>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</si>
  <si>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</si>
  <si>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</si>
  <si>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</si>
  <si>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</si>
  <si>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</si>
  <si>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</si>
  <si>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</si>
  <si>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</si>
  <si>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</si>
  <si>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</si>
  <si>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</si>
  <si>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</si>
  <si>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</si>
  <si>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</si>
  <si>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</si>
  <si>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</si>
  <si>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</si>
  <si>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</si>
  <si>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</si>
  <si>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</si>
  <si>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</si>
  <si>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</si>
  <si>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</si>
  <si>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</si>
  <si>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</si>
  <si>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</si>
  <si>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</si>
  <si>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</si>
  <si>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</si>
  <si>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</si>
  <si>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</si>
  <si>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</si>
  <si>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</si>
  <si>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</si>
  <si>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</si>
  <si>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</si>
  <si>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</si>
  <si>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</si>
  <si>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</si>
  <si>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</si>
  <si>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</si>
  <si>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</si>
  <si>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</si>
  <si>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</si>
  <si>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</si>
  <si>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</si>
  <si>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</si>
  <si>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</si>
  <si>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</si>
  <si>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</si>
  <si>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</si>
  <si>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</si>
  <si>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</si>
  <si>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</si>
  <si>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</si>
  <si>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</si>
  <si>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</si>
  <si>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</si>
  <si>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</si>
  <si>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</si>
  <si>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</si>
  <si>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</si>
  <si>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</si>
  <si>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</si>
  <si>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</si>
  <si>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</si>
  <si>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</si>
  <si>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</si>
  <si>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</si>
  <si>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</si>
  <si>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</si>
  <si>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</si>
  <si>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</si>
  <si>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</si>
  <si>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</si>
  <si>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</si>
  <si>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</si>
  <si>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</si>
  <si>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</si>
  <si>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</si>
  <si>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</si>
  <si>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</si>
  <si>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</si>
  <si>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</si>
  <si>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</si>
  <si>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</si>
  <si>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</si>
  <si>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</si>
  <si>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</si>
  <si>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</si>
  <si>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</si>
  <si>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</si>
  <si>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</si>
  <si>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</si>
  <si>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</si>
  <si>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</si>
  <si>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</si>
  <si>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</si>
  <si>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</si>
  <si>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</si>
  <si>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</si>
  <si>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</si>
  <si>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</si>
  <si>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</si>
  <si>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</si>
  <si>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</si>
  <si>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</si>
  <si>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</si>
  <si>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</si>
  <si>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</si>
  <si>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</si>
  <si>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</si>
  <si>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</si>
  <si>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</si>
  <si>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</si>
  <si>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</si>
  <si>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</si>
  <si>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</si>
  <si>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</si>
  <si>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</si>
  <si>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</si>
  <si>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</si>
  <si>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</si>
  <si>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</si>
  <si>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</si>
  <si>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</si>
  <si>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</si>
  <si>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</si>
  <si>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</si>
  <si>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</si>
  <si>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</si>
  <si>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</si>
  <si>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</si>
  <si>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</si>
  <si>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</si>
  <si>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</si>
  <si>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</si>
  <si>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</si>
  <si>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</si>
  <si>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</si>
  <si>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</si>
  <si>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</si>
  <si>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</si>
  <si>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</si>
  <si>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</si>
  <si>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</si>
  <si>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</si>
  <si>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</si>
  <si>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</si>
  <si>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</si>
  <si>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</si>
  <si>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</si>
  <si>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</si>
  <si>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</si>
  <si>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</si>
  <si>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</si>
  <si>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</si>
  <si>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</si>
  <si>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</si>
  <si>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</si>
  <si>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</si>
  <si>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</si>
  <si>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</si>
  <si>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</si>
  <si>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</si>
  <si>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</si>
  <si>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</si>
  <si>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</si>
  <si>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</si>
  <si>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</si>
  <si>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</si>
  <si>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</si>
  <si>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</si>
  <si>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</si>
  <si>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</si>
  <si>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</si>
  <si>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</si>
  <si>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</si>
  <si>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</si>
  <si>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</si>
  <si>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</si>
  <si>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</si>
  <si>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</si>
  <si>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</si>
  <si>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</si>
  <si>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</si>
  <si>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</si>
  <si>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</si>
  <si>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</si>
  <si>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</si>
  <si>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</si>
  <si>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</si>
  <si>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</si>
  <si>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</si>
  <si>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</si>
  <si>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</si>
  <si>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</si>
  <si>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</si>
  <si>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</si>
  <si>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</si>
  <si>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</si>
  <si>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</si>
  <si>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</si>
  <si>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</si>
  <si>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</si>
  <si>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</si>
  <si>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</si>
  <si>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</si>
  <si>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</si>
  <si>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</si>
  <si>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</si>
  <si>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</si>
  <si>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</si>
  <si>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</si>
  <si>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</si>
  <si>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</si>
  <si>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</si>
  <si>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</si>
  <si>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</si>
  <si>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</si>
  <si>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</si>
  <si>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</si>
  <si>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</si>
  <si>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</si>
  <si>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</si>
  <si>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</si>
  <si>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</si>
  <si>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</si>
  <si>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</si>
  <si>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</si>
  <si>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</si>
  <si>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</si>
  <si>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</si>
  <si>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</si>
  <si>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</si>
  <si>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</si>
  <si>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</si>
  <si>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</si>
  <si>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</si>
  <si>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</si>
  <si>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</si>
  <si>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</si>
  <si>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</si>
  <si>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</si>
  <si>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</si>
  <si>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</si>
  <si>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</si>
  <si>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</si>
  <si>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</si>
  <si>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</si>
  <si>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</si>
  <si>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</si>
  <si>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</si>
  <si>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</si>
  <si>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</si>
  <si>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</si>
  <si>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</si>
  <si>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</si>
  <si>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</si>
  <si>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</si>
  <si>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</si>
  <si>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</si>
  <si>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</si>
  <si>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</si>
  <si>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</si>
  <si>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</si>
  <si>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</si>
  <si>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</si>
  <si>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</si>
  <si>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</si>
  <si>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</si>
  <si>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</si>
  <si>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</si>
  <si>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</si>
  <si>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</si>
  <si>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</si>
  <si>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</si>
  <si>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</si>
  <si>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</si>
  <si>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</si>
  <si>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</si>
  <si>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</si>
  <si>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</si>
  <si>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</si>
  <si>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</si>
  <si>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</si>
  <si>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</si>
  <si>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</si>
  <si>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</si>
  <si>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</si>
  <si>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</si>
  <si>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</si>
  <si>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</si>
  <si>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</si>
  <si>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</si>
  <si>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</si>
  <si>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</si>
  <si>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</si>
  <si>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</si>
  <si>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</si>
  <si>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</si>
  <si>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</si>
  <si>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</si>
  <si>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</si>
  <si>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</si>
  <si>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</si>
  <si>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</si>
  <si>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</si>
  <si>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</si>
  <si>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</si>
  <si>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</si>
  <si>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</si>
  <si>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</si>
  <si>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</si>
  <si>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</si>
  <si>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</si>
  <si>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</si>
  <si>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</si>
  <si>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</si>
  <si>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</si>
  <si>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</si>
  <si>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</si>
  <si>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</si>
  <si>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</si>
  <si>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</si>
  <si>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</si>
  <si>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</si>
  <si>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</si>
  <si>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</si>
  <si>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</si>
  <si>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</si>
  <si>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</si>
  <si>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</si>
  <si>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</si>
  <si>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</si>
  <si>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</si>
  <si>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</si>
  <si>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</si>
  <si>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</si>
  <si>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</si>
  <si>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</si>
  <si>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</si>
  <si>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</si>
  <si>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</si>
  <si>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</si>
  <si>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</si>
  <si>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</si>
  <si>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</si>
  <si>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</si>
  <si>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</si>
  <si>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</si>
  <si>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</si>
  <si>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</si>
  <si>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</si>
  <si>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</si>
  <si>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</si>
  <si>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</si>
  <si>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</si>
  <si>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</si>
  <si>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</si>
  <si>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</si>
  <si>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</si>
  <si>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</si>
  <si>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</si>
  <si>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</si>
  <si>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</si>
  <si>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</si>
  <si>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</si>
  <si>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</si>
  <si>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</si>
  <si>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</si>
  <si>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</si>
  <si>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</si>
  <si>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</si>
  <si>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</si>
  <si>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</si>
  <si>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</si>
  <si>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</si>
  <si>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</si>
  <si>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</si>
  <si>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</si>
  <si>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</si>
  <si>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</si>
  <si>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</si>
  <si>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</si>
  <si>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</si>
  <si>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</si>
  <si>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</si>
  <si>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</si>
  <si>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</si>
  <si>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</si>
  <si>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</si>
  <si>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</si>
  <si>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</si>
  <si>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</si>
  <si>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</si>
  <si>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</si>
  <si>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</si>
  <si>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</si>
  <si>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</si>
  <si>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</si>
  <si>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</si>
  <si>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</si>
  <si>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</si>
  <si>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</si>
  <si>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</si>
  <si>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</si>
  <si>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</si>
  <si>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</si>
  <si>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</si>
  <si>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</si>
  <si>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</si>
  <si>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</si>
  <si>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</si>
  <si>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</si>
  <si>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</si>
  <si>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</si>
  <si>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</si>
  <si>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</si>
  <si>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</si>
  <si>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</si>
  <si>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</si>
  <si>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</si>
  <si>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</si>
  <si>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</si>
  <si>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</si>
  <si>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</si>
  <si>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</si>
  <si>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</si>
  <si>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</si>
  <si>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</si>
  <si>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</si>
  <si>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</si>
  <si>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</si>
  <si>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</si>
  <si>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</si>
  <si>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</si>
  <si>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</si>
  <si>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</si>
  <si>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</si>
  <si>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</si>
  <si>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</si>
  <si>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</si>
  <si>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</si>
  <si>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</si>
  <si>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</si>
  <si>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</si>
  <si>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</si>
  <si>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</si>
  <si>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</si>
  <si>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</si>
  <si>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</si>
  <si>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</si>
  <si>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</si>
  <si>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</si>
  <si>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</si>
  <si>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</si>
  <si>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</si>
  <si>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</si>
  <si>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</si>
  <si>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</si>
  <si>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</si>
  <si>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</si>
  <si>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</si>
  <si>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</si>
  <si>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</si>
  <si>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</si>
  <si>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</si>
  <si>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</si>
  <si>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</si>
  <si>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</si>
  <si>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</si>
  <si>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</si>
  <si>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</si>
  <si>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</si>
  <si>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</si>
  <si>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</si>
  <si>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</si>
  <si>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</si>
  <si>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</si>
  <si>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</si>
  <si>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</si>
  <si>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</si>
  <si>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</si>
  <si>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</si>
  <si>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</si>
  <si>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</si>
  <si>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</si>
  <si>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</si>
  <si>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</si>
  <si>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</si>
  <si>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</si>
  <si>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</si>
  <si>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</si>
  <si>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</si>
  <si>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</si>
  <si>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</si>
  <si>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</si>
  <si>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</si>
  <si>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</si>
  <si>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</si>
  <si>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</si>
  <si>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</si>
  <si>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</si>
  <si>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</si>
  <si>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</si>
  <si>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</si>
  <si>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</si>
  <si>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</si>
  <si>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</si>
  <si>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</si>
  <si>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</si>
  <si>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</si>
  <si>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</si>
  <si>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</si>
  <si>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</si>
  <si>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</si>
  <si>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</si>
  <si>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</si>
  <si>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</si>
  <si>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</si>
  <si>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</si>
  <si>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</si>
  <si>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</si>
  <si>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</si>
  <si>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</si>
  <si>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</si>
  <si>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</si>
  <si>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</si>
  <si>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</si>
  <si>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</si>
  <si>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</si>
  <si>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</si>
  <si>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</si>
  <si>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</si>
  <si>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</si>
  <si>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</si>
  <si>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</si>
  <si>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</si>
  <si>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</si>
  <si>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</si>
  <si>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</si>
  <si>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</si>
  <si>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</si>
  <si>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</si>
  <si>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</si>
  <si>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</si>
  <si>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</si>
  <si>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</si>
  <si>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</si>
  <si>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</si>
  <si>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</si>
  <si>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</si>
  <si>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</si>
  <si>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</si>
  <si>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</si>
  <si>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</si>
  <si>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</si>
  <si>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</si>
  <si>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</si>
  <si>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</si>
  <si>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</si>
  <si>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</si>
  <si>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</si>
  <si>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</si>
  <si>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</si>
  <si>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</si>
  <si>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</si>
  <si>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</si>
  <si>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</si>
  <si>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</si>
  <si>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</si>
  <si>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</si>
  <si>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</si>
  <si>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</si>
  <si>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</si>
  <si>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</si>
  <si>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</si>
  <si>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</si>
  <si>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</si>
  <si>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</si>
  <si>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</si>
  <si>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</si>
  <si>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</si>
  <si>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</si>
  <si>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</si>
  <si>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</si>
  <si>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</si>
  <si>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</si>
  <si>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</si>
  <si>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</si>
  <si>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</si>
  <si>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</si>
  <si>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</si>
  <si>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</si>
  <si>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</si>
  <si>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</si>
  <si>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</si>
  <si>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</si>
  <si>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</si>
  <si>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</si>
  <si>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</si>
  <si>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</si>
  <si>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</si>
  <si>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</si>
  <si>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</si>
  <si>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</si>
  <si>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</si>
  <si>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</si>
  <si>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</si>
  <si>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</si>
  <si>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</si>
  <si>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</si>
  <si>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</si>
  <si>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</si>
  <si>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</si>
  <si>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</si>
  <si>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</si>
  <si>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</si>
  <si>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</si>
  <si>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</si>
  <si>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</si>
  <si>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</si>
  <si>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</si>
  <si>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</si>
  <si>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</si>
  <si>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</si>
  <si>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</si>
  <si>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</si>
  <si>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</si>
  <si>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</si>
  <si>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</si>
  <si>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</si>
  <si>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</si>
  <si>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</si>
  <si>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</si>
  <si>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</si>
  <si>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</si>
  <si>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</si>
  <si>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</si>
  <si>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</si>
  <si>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</si>
  <si>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</si>
  <si>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</si>
  <si>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</si>
  <si>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</si>
  <si>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</si>
  <si>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</si>
  <si>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</si>
  <si>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</si>
  <si>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</si>
  <si>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</si>
  <si>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</si>
  <si>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</si>
  <si>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</si>
  <si>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</si>
  <si>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</si>
  <si>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</si>
  <si>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</si>
  <si>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</si>
  <si>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</si>
  <si>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</si>
  <si>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</si>
  <si>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</si>
  <si>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</si>
  <si>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</si>
  <si>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</si>
  <si>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</si>
  <si>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</si>
  <si>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</si>
  <si>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</si>
  <si>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</si>
  <si>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</si>
  <si>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</si>
  <si>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</si>
  <si>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</si>
  <si>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</si>
  <si>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</si>
  <si>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</si>
  <si>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</si>
  <si>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</si>
  <si>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</si>
  <si>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</si>
  <si>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</si>
  <si>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</si>
  <si>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</si>
  <si>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</si>
  <si>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</si>
  <si>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</si>
  <si>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</si>
  <si>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</si>
  <si>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</si>
  <si>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</si>
  <si>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</si>
  <si>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</si>
  <si>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</si>
  <si>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</si>
  <si>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</si>
  <si>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</si>
  <si>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</si>
  <si>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</si>
  <si>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</si>
  <si>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</si>
  <si>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</si>
  <si>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</si>
  <si>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</si>
  <si>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</si>
  <si>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</si>
  <si>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</si>
  <si>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</si>
  <si>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</si>
  <si>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</si>
  <si>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</si>
  <si>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</si>
  <si>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</si>
  <si>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</si>
  <si>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</si>
  <si>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</si>
  <si>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</si>
  <si>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</si>
  <si>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</si>
  <si>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</si>
  <si>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</si>
  <si>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</si>
  <si>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</si>
  <si>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</si>
  <si>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</si>
  <si>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</si>
  <si>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</si>
  <si>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</si>
  <si>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</si>
  <si>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</si>
  <si>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</si>
  <si>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</si>
  <si>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</si>
  <si>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</si>
  <si>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</si>
  <si>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</si>
  <si>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</si>
  <si>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</si>
  <si>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</si>
  <si>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</si>
  <si>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</si>
  <si>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</si>
  <si>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</si>
  <si>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</si>
  <si>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</si>
  <si>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</si>
  <si>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</si>
  <si>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</si>
  <si>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</si>
  <si>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</si>
  <si>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</si>
  <si>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</si>
  <si>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</si>
  <si>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</si>
  <si>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</si>
  <si>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</si>
  <si>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</si>
  <si>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</si>
  <si>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</si>
  <si>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</si>
  <si>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</si>
  <si>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</si>
  <si>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</si>
  <si>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</si>
  <si>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</si>
  <si>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</si>
  <si>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</si>
  <si>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</si>
  <si>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</si>
  <si>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</si>
  <si>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</si>
  <si>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</si>
  <si>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</si>
  <si>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</si>
  <si>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</si>
  <si>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</si>
  <si>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</si>
  <si>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</si>
  <si>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</si>
  <si>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</si>
  <si>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</si>
  <si>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</si>
  <si>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</si>
  <si>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</si>
  <si>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</si>
  <si>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</si>
  <si>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</si>
  <si>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</si>
  <si>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</si>
  <si>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</si>
  <si>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</si>
  <si>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</si>
  <si>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</si>
  <si>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</si>
  <si>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</si>
  <si>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</si>
  <si>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</si>
  <si>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</si>
  <si>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</si>
  <si>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</si>
  <si>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</si>
  <si>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</si>
  <si>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</si>
  <si>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</si>
  <si>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</si>
  <si>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</si>
  <si>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</si>
  <si>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</si>
  <si>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</si>
  <si>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</si>
  <si>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</si>
  <si>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</si>
  <si>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</si>
  <si>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</si>
  <si>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</si>
  <si>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</si>
  <si>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</si>
  <si>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</si>
  <si>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</si>
  <si>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</si>
  <si>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</si>
  <si>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</si>
  <si>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</si>
  <si>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</si>
  <si>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</si>
  <si>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</si>
  <si>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</si>
  <si>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</si>
  <si>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</si>
  <si>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</si>
  <si>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</si>
  <si>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</si>
  <si>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</si>
  <si>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</si>
  <si>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</si>
  <si>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</si>
  <si>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</si>
  <si>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</si>
  <si>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</si>
  <si>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</si>
  <si>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</si>
  <si>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</si>
  <si>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</si>
  <si>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</si>
  <si>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</si>
  <si>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</si>
  <si>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</si>
  <si>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</si>
  <si>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</si>
  <si>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</si>
  <si>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</si>
  <si>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</si>
  <si>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</si>
  <si>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</si>
  <si>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</si>
  <si>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</si>
  <si>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</si>
  <si>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</si>
  <si>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</si>
  <si>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</si>
  <si>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</si>
  <si>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</si>
  <si>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</si>
  <si>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</si>
  <si>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</si>
  <si>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</si>
  <si>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</si>
  <si>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</si>
  <si>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</si>
  <si>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</si>
  <si>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</si>
  <si>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</si>
  <si>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</si>
  <si>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</si>
  <si>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</si>
  <si>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</si>
  <si>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</si>
  <si>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</si>
  <si>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</si>
  <si>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</si>
  <si>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</si>
  <si>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</si>
  <si>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</si>
  <si>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</si>
  <si>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</si>
  <si>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</si>
  <si>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</si>
  <si>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</si>
  <si>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</si>
  <si>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</si>
  <si>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</si>
  <si>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</si>
  <si>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</si>
  <si>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</si>
  <si>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</si>
  <si>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</si>
  <si>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</si>
  <si>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</si>
  <si>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</si>
  <si>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</si>
  <si>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</si>
  <si>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</si>
  <si>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</si>
  <si>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</si>
  <si>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</si>
  <si>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</si>
  <si>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</si>
  <si>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</si>
  <si>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</si>
  <si>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</si>
  <si>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</si>
  <si>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</si>
  <si>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</si>
  <si>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</si>
  <si>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</si>
  <si>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</si>
  <si>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</si>
  <si>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</si>
  <si>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</si>
  <si>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</si>
  <si>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</si>
  <si>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</si>
  <si>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</si>
  <si>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</si>
  <si>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</si>
  <si>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</si>
  <si>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</si>
  <si>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</si>
  <si>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</si>
  <si>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</si>
  <si>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</si>
  <si>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</si>
  <si>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</si>
  <si>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</si>
  <si>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</si>
  <si>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</si>
  <si>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</si>
  <si>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</si>
  <si>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</si>
  <si>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</si>
  <si>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</si>
  <si>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</si>
  <si>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</si>
  <si>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</si>
  <si>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</si>
  <si>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</si>
  <si>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</si>
  <si>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</si>
  <si>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</si>
  <si>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</si>
  <si>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</si>
  <si>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</si>
  <si>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</si>
  <si>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</si>
  <si>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</si>
  <si>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</si>
  <si>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</si>
  <si>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</si>
  <si>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</si>
  <si>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</si>
  <si>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</si>
  <si>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</si>
  <si>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</si>
  <si>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</si>
  <si>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</si>
  <si>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</si>
  <si>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</si>
  <si>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</si>
  <si>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</si>
  <si>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</si>
  <si>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</si>
  <si>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</si>
  <si>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</si>
  <si>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</si>
  <si>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</si>
  <si>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</si>
  <si>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</si>
  <si>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</si>
  <si>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</si>
  <si>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</si>
  <si>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</si>
  <si>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</si>
  <si>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</si>
  <si>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</si>
  <si>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</si>
  <si>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</si>
  <si>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</si>
  <si>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</si>
  <si>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</si>
  <si>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</si>
  <si>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</si>
  <si>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</si>
  <si>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</si>
  <si>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</si>
  <si>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</si>
  <si>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</si>
  <si>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</si>
  <si>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</si>
  <si>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</si>
  <si>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</si>
  <si>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</si>
  <si>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</si>
  <si>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</si>
  <si>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</si>
  <si>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</si>
  <si>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</si>
  <si>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</si>
  <si>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</si>
  <si>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</si>
  <si>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</si>
  <si>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</si>
  <si>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</si>
  <si>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</si>
  <si>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</si>
  <si>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</si>
  <si>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</si>
  <si>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</si>
  <si>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</si>
  <si>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</si>
  <si>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</si>
  <si>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</si>
  <si>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</si>
  <si>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</si>
  <si>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</si>
  <si>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</si>
  <si>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</si>
  <si>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</si>
  <si>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</si>
  <si>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</si>
  <si>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</si>
  <si>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</si>
  <si>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</si>
  <si>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</si>
  <si>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</si>
  <si>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</si>
  <si>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</si>
  <si>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</si>
  <si>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</si>
  <si>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</si>
  <si>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</si>
  <si>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</si>
  <si>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</si>
  <si>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</si>
  <si>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</si>
  <si>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</si>
  <si>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</si>
  <si>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</si>
  <si>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</si>
  <si>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</si>
  <si>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</si>
  <si>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</si>
  <si>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</si>
  <si>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</si>
  <si>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</si>
  <si>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</si>
  <si>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</si>
  <si>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</si>
  <si>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</si>
  <si>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</si>
  <si>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</si>
  <si>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</si>
  <si>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</si>
  <si>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</si>
  <si>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</si>
  <si>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</si>
  <si>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</si>
  <si>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</si>
  <si>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</si>
  <si>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</si>
  <si>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</si>
  <si>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</si>
  <si>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</si>
  <si>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</si>
  <si>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</si>
  <si>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</si>
  <si>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</si>
  <si>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</si>
  <si>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</si>
  <si>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</si>
  <si>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</si>
  <si>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</si>
  <si>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</si>
  <si>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</si>
  <si>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</si>
  <si>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</si>
  <si>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</si>
  <si>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</si>
  <si>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</si>
  <si>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</si>
  <si>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</si>
  <si>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</si>
  <si>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</si>
  <si>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</si>
  <si>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</si>
  <si>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</si>
  <si>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</si>
  <si>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</si>
  <si>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</si>
  <si>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</si>
  <si>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</si>
  <si>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</si>
  <si>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</si>
  <si>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</si>
  <si>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</si>
  <si>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</si>
  <si>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</si>
  <si>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</si>
  <si>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</si>
  <si>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</si>
  <si>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</si>
  <si>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</si>
  <si>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</si>
  <si>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</si>
  <si>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</si>
  <si>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</si>
  <si>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</si>
  <si>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</si>
  <si>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</si>
  <si>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</si>
  <si>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</si>
  <si>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</si>
  <si>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</si>
  <si>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</si>
  <si>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</si>
  <si>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</si>
  <si>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</si>
  <si>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</si>
  <si>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</si>
  <si>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</si>
  <si>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</si>
  <si>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</si>
  <si>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</si>
  <si>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</si>
  <si>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</si>
  <si>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</si>
  <si>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</si>
  <si>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</si>
  <si>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</si>
  <si>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</si>
  <si>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</si>
  <si>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</si>
  <si>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</si>
  <si>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</si>
  <si>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</si>
  <si>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</si>
  <si>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</si>
  <si>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</si>
  <si>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</si>
  <si>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</si>
  <si>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</si>
  <si>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</si>
  <si>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</si>
  <si>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</si>
  <si>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</si>
  <si>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</si>
  <si>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</si>
  <si>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</si>
  <si>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</si>
  <si>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</si>
  <si>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</si>
  <si>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</si>
  <si>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</si>
  <si>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</si>
  <si>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</si>
  <si>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</si>
  <si>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</si>
  <si>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</si>
  <si>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</si>
  <si>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</si>
  <si>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</si>
  <si>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</si>
  <si>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</si>
  <si>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</si>
  <si>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</si>
  <si>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</si>
  <si>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</si>
  <si>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</si>
  <si>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</si>
  <si>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</si>
  <si>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</si>
  <si>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</si>
  <si>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</si>
  <si>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</si>
  <si>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</si>
  <si>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</si>
  <si>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</si>
  <si>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</si>
  <si>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</si>
  <si>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</si>
  <si>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</si>
  <si>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</si>
  <si>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</si>
  <si>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</si>
  <si>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</si>
  <si>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</si>
  <si>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</si>
  <si>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</si>
  <si>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</si>
  <si>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</si>
  <si>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</si>
  <si>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</si>
  <si>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</si>
  <si>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</si>
  <si>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</si>
  <si>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</si>
  <si>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</si>
  <si>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</si>
  <si>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</si>
  <si>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</si>
  <si>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</si>
  <si>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</si>
  <si>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</si>
  <si>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</si>
  <si>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</si>
  <si>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</si>
  <si>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</si>
  <si>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</si>
  <si>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</si>
  <si>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</si>
  <si>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</si>
  <si>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</si>
  <si>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</si>
  <si>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</si>
  <si>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</si>
  <si>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</si>
  <si>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</si>
  <si>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</si>
  <si>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</si>
  <si>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</si>
  <si>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</si>
  <si>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</si>
  <si>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</si>
  <si>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</si>
  <si>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</si>
  <si>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</si>
  <si>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</si>
  <si>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</si>
  <si>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</si>
  <si>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</si>
  <si>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</si>
  <si>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</si>
  <si>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</si>
  <si>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</si>
  <si>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</si>
  <si>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</si>
  <si>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</si>
  <si>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</si>
  <si>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</si>
  <si>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</si>
  <si>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</si>
  <si>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</si>
  <si>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</si>
  <si>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</si>
  <si>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</si>
  <si>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</si>
  <si>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</si>
  <si>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</si>
  <si>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</si>
  <si>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</si>
  <si>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</si>
  <si>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</si>
  <si>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</si>
  <si>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</si>
  <si>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</si>
  <si>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</si>
  <si>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</si>
  <si>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</si>
  <si>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</si>
  <si>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</si>
  <si>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</si>
  <si>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</si>
  <si>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</si>
  <si>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</si>
  <si>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</si>
  <si>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</si>
  <si>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</si>
  <si>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</si>
  <si>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</si>
  <si>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</si>
  <si>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</si>
  <si>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</si>
  <si>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</si>
  <si>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</si>
  <si>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</si>
  <si>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</si>
  <si>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</si>
  <si>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</si>
  <si>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</si>
  <si>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</si>
  <si>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</si>
  <si>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</si>
  <si>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</si>
  <si>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</si>
  <si>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</si>
  <si>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</si>
  <si>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</si>
  <si>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</si>
  <si>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</si>
  <si>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</si>
  <si>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</si>
  <si>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</si>
  <si>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</si>
  <si>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</si>
  <si>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</si>
  <si>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</si>
  <si>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</si>
  <si>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</si>
  <si>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</si>
  <si>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</si>
  <si>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</si>
  <si>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</si>
  <si>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</si>
  <si>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</si>
  <si>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</si>
  <si>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</si>
  <si>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</si>
  <si>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</si>
  <si>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</si>
  <si>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</si>
  <si>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</si>
  <si>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</si>
  <si>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</si>
  <si>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</si>
  <si>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</si>
  <si>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</si>
  <si>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</si>
  <si>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</si>
  <si>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</si>
  <si>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</si>
  <si>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</si>
  <si>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</si>
  <si>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</si>
  <si>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</si>
  <si>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</si>
  <si>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</si>
  <si>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</si>
  <si>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</si>
  <si>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</si>
  <si>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</si>
  <si>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</si>
  <si>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</si>
  <si>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</si>
  <si>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</si>
  <si>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</si>
  <si>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</si>
  <si>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</si>
  <si>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</si>
  <si>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</si>
  <si>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</si>
  <si>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</si>
  <si>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</si>
  <si>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</si>
  <si>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</si>
  <si>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</si>
  <si>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</si>
  <si>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</si>
  <si>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</si>
  <si>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</si>
  <si>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</si>
  <si>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</si>
  <si>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</si>
  <si>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</si>
  <si>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</si>
  <si>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</si>
  <si>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</si>
  <si>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</si>
  <si>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</si>
  <si>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</si>
  <si>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</si>
  <si>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</si>
  <si>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</si>
  <si>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</si>
  <si>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</si>
  <si>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</si>
  <si>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</si>
  <si>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</si>
  <si>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</si>
  <si>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</si>
  <si>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</si>
  <si>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</si>
  <si>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</si>
  <si>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</si>
  <si>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</si>
  <si>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</si>
  <si>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</si>
  <si>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</si>
  <si>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</si>
  <si>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</si>
  <si>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</si>
  <si>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</si>
  <si>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</si>
  <si>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</si>
  <si>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</si>
  <si>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</si>
  <si>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</si>
  <si>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</si>
  <si>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</si>
  <si>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</si>
  <si>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</si>
  <si>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</si>
  <si>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</si>
  <si>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</si>
  <si>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</si>
  <si>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</si>
  <si>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</si>
  <si>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</si>
  <si>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</si>
  <si>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</si>
  <si>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</si>
  <si>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</si>
  <si>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</si>
  <si>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</si>
  <si>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</si>
  <si>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</si>
  <si>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</si>
  <si>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</si>
  <si>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</si>
  <si>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</si>
  <si>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</si>
  <si>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</si>
  <si>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</si>
  <si>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</si>
  <si>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</si>
  <si>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</si>
  <si>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</si>
  <si>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</si>
  <si>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</si>
  <si>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</si>
  <si>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</si>
  <si>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</si>
  <si>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</si>
  <si>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</si>
  <si>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</si>
  <si>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</si>
  <si>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</si>
  <si>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</si>
  <si>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</si>
  <si>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</si>
  <si>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</si>
  <si>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</si>
  <si>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</si>
  <si>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</si>
  <si>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</si>
  <si>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</si>
  <si>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</si>
  <si>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</si>
  <si>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</si>
  <si>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</si>
  <si>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</si>
  <si>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</si>
  <si>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</si>
  <si>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</si>
  <si>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</si>
  <si>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</si>
  <si>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</si>
  <si>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</si>
  <si>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</si>
  <si>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</si>
  <si>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</si>
  <si>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</si>
  <si>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</si>
  <si>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</si>
  <si>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</si>
  <si>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</si>
  <si>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</si>
  <si>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</si>
  <si>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</si>
  <si>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</si>
  <si>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</si>
  <si>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</si>
  <si>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</si>
  <si>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</si>
  <si>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</si>
  <si>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</si>
  <si>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</si>
  <si>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</si>
  <si>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</si>
  <si>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</si>
  <si>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</si>
  <si>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</si>
  <si>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</si>
  <si>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</si>
  <si>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</si>
  <si>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</si>
  <si>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</si>
  <si>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</si>
  <si>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</si>
  <si>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</si>
  <si>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</si>
  <si>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</si>
  <si>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</si>
  <si>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</si>
  <si>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</si>
  <si>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</si>
  <si>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</si>
  <si>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</si>
  <si>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</si>
  <si>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</si>
  <si>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</si>
  <si>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</si>
  <si>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</si>
  <si>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</si>
  <si>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</si>
  <si>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</si>
  <si>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</si>
  <si>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</si>
  <si>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</si>
  <si>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</si>
  <si>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</si>
  <si>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</si>
  <si>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</si>
  <si>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</si>
  <si>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</si>
  <si>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</si>
  <si>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</si>
  <si>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</si>
  <si>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</si>
  <si>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</si>
  <si>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</si>
  <si>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</si>
  <si>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</si>
  <si>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</si>
  <si>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</si>
  <si>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</si>
  <si>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</si>
  <si>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</si>
  <si>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</si>
  <si>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</si>
  <si>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</si>
  <si>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</si>
  <si>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</si>
  <si>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</si>
  <si>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</si>
  <si>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</si>
  <si>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</si>
  <si>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</si>
  <si>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</si>
  <si>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</si>
  <si>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</si>
  <si>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</si>
  <si>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</si>
  <si>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</si>
  <si>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</si>
  <si>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</si>
  <si>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</si>
  <si>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</si>
  <si>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</si>
  <si>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</si>
  <si>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</si>
  <si>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</si>
  <si>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</si>
  <si>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</si>
  <si>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</si>
  <si>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</si>
  <si>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</si>
  <si>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</si>
  <si>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</si>
  <si>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</si>
  <si>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</si>
  <si>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</si>
  <si>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</si>
  <si>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</si>
  <si>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</si>
  <si>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</si>
  <si>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</si>
  <si>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</si>
  <si>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</si>
  <si>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</si>
  <si>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</si>
  <si>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</si>
  <si>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</si>
  <si>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</si>
  <si>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</si>
  <si>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</si>
  <si>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</si>
  <si>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</si>
  <si>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</si>
  <si>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</si>
  <si>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</si>
  <si>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</si>
  <si>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</si>
  <si>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</si>
  <si>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</si>
  <si>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</si>
  <si>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</si>
  <si>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</si>
  <si>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</si>
  <si>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</si>
  <si>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</si>
  <si>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</si>
  <si>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</si>
  <si>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</si>
  <si>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</si>
  <si>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</si>
  <si>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</si>
  <si>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</si>
  <si>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</si>
  <si>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</si>
  <si>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</si>
  <si>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</si>
  <si>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</si>
  <si>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</si>
  <si>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</si>
  <si>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</si>
  <si>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</si>
  <si>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</si>
  <si>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</si>
  <si>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</si>
  <si>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</si>
  <si>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</si>
  <si>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</si>
  <si>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</si>
  <si>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</si>
  <si>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</si>
  <si>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</si>
  <si>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</si>
  <si>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</si>
  <si>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</si>
  <si>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</si>
  <si>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</si>
  <si>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</si>
  <si>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</si>
  <si>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</si>
  <si>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</si>
  <si>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</si>
  <si>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</si>
  <si>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</si>
  <si>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</si>
  <si>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</si>
  <si>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</si>
  <si>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</si>
  <si>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</si>
  <si>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</si>
  <si>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</si>
  <si>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</si>
  <si>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</si>
  <si>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</si>
  <si>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</si>
  <si>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</si>
  <si>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</si>
  <si>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</si>
  <si>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</si>
  <si>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</si>
  <si>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</si>
  <si>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</si>
  <si>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</si>
  <si>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</si>
  <si>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</si>
  <si>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</si>
  <si>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</si>
  <si>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</si>
  <si>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</si>
  <si>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</si>
  <si>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</si>
  <si>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</si>
  <si>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</si>
  <si>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</si>
  <si>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</si>
  <si>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</si>
  <si>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</si>
  <si>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</si>
  <si>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</si>
  <si>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</si>
  <si>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</si>
  <si>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</si>
  <si>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</si>
  <si>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</si>
  <si>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</si>
  <si>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</si>
  <si>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</si>
  <si>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</si>
  <si>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</si>
  <si>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</si>
  <si>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</si>
  <si>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</si>
  <si>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</si>
  <si>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</si>
  <si>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</si>
  <si>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</si>
  <si>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</si>
  <si>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</si>
  <si>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</si>
  <si>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</si>
  <si>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</si>
  <si>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</si>
  <si>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</si>
  <si>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</si>
  <si>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</si>
  <si>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</si>
  <si>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</si>
  <si>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</si>
  <si>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</si>
  <si>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</si>
  <si>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</si>
  <si>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</si>
  <si>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</si>
  <si>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</si>
  <si>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</si>
  <si>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</si>
  <si>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</si>
  <si>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</si>
  <si>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</si>
  <si>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</si>
  <si>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</si>
  <si>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</si>
  <si>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</si>
  <si>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</si>
  <si>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</si>
  <si>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</si>
  <si>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</si>
  <si>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</si>
  <si>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</si>
  <si>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</si>
  <si>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</si>
  <si>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</si>
  <si>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</si>
  <si>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</si>
  <si>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</si>
  <si>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</si>
  <si>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</si>
  <si>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</si>
  <si>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</si>
  <si>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</si>
  <si>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</si>
  <si>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</si>
  <si>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</si>
  <si>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</si>
  <si>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</si>
  <si>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</si>
  <si>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</si>
  <si>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</si>
  <si>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</si>
  <si>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</si>
  <si>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</si>
  <si>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</si>
  <si>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</si>
  <si>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</si>
  <si>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</si>
  <si>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</si>
  <si>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</si>
  <si>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</si>
  <si>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</si>
  <si>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</si>
  <si>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</si>
  <si>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</si>
  <si>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</si>
  <si>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</si>
  <si>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</si>
  <si>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</si>
  <si>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</si>
  <si>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</si>
  <si>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</si>
  <si>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</si>
  <si>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</si>
  <si>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</si>
  <si>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</si>
  <si>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</si>
  <si>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</si>
  <si>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</si>
  <si>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</si>
  <si>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</si>
  <si>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</si>
  <si>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</si>
  <si>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</si>
  <si>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</si>
  <si>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</si>
  <si>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</si>
  <si>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</si>
  <si>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</si>
  <si>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</si>
  <si>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</si>
  <si>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</si>
  <si>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</si>
  <si>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</si>
  <si>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</si>
  <si>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</si>
  <si>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</si>
  <si>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</si>
  <si>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</si>
  <si>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</si>
  <si>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</si>
  <si>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</si>
  <si>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</si>
  <si>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</si>
  <si>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</si>
  <si>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</si>
  <si>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</si>
  <si>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</si>
  <si>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</si>
  <si>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</si>
  <si>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</si>
  <si>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</si>
  <si>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</si>
  <si>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</si>
  <si>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</si>
  <si>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</si>
  <si>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</si>
  <si>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</si>
  <si>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</si>
  <si>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</si>
  <si>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</si>
  <si>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</si>
  <si>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</si>
  <si>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</si>
  <si>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</si>
  <si>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</si>
  <si>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</si>
  <si>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</si>
  <si>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</si>
  <si>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</si>
  <si>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</si>
  <si>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</si>
  <si>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</si>
  <si>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</si>
  <si>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</si>
  <si>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</si>
  <si>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</si>
  <si>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</si>
  <si>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</si>
  <si>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</si>
  <si>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</si>
  <si>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</si>
  <si>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</si>
  <si>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</si>
  <si>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</si>
  <si>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</si>
  <si>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</si>
  <si>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</si>
  <si>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</si>
  <si>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</si>
  <si>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</si>
  <si>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</si>
  <si>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</si>
  <si>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</si>
  <si>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</si>
  <si>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</si>
  <si>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</si>
  <si>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</si>
  <si>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</si>
  <si>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</si>
  <si>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</si>
  <si>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</si>
  <si>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</si>
  <si>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</si>
  <si>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</si>
  <si>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</si>
  <si>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</si>
  <si>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</si>
  <si>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</si>
  <si>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</si>
  <si>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</si>
  <si>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</si>
  <si>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</si>
  <si>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</si>
  <si>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</si>
  <si>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</si>
  <si>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</si>
  <si>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</si>
  <si>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</si>
  <si>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</si>
  <si>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</si>
  <si>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</si>
  <si>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</si>
  <si>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</si>
  <si>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</si>
  <si>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</si>
  <si>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</si>
  <si>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</si>
  <si>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</si>
  <si>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</si>
  <si>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</si>
  <si>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</si>
  <si>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</si>
  <si>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</si>
  <si>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</si>
  <si>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</si>
  <si>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</si>
  <si>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</si>
  <si>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</si>
  <si>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</si>
  <si>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</si>
  <si>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</si>
  <si>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</si>
  <si>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</si>
  <si>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</si>
  <si>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</si>
  <si>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</si>
  <si>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</si>
  <si>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</si>
  <si>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</si>
  <si>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</si>
  <si>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</si>
  <si>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</si>
  <si>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</si>
  <si>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</si>
  <si>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</si>
  <si>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</si>
  <si>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</si>
  <si>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</si>
  <si>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</si>
  <si>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</si>
  <si>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</si>
  <si>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</si>
  <si>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</si>
  <si>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</si>
  <si>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</si>
  <si>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</si>
  <si>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</si>
  <si>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</si>
  <si>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</si>
  <si>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</si>
  <si>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</si>
  <si>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</si>
  <si>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</si>
  <si>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</si>
  <si>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</si>
  <si>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</si>
  <si>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</si>
  <si>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</si>
  <si>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</si>
  <si>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</si>
  <si>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</si>
  <si>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</si>
  <si>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</si>
  <si>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</si>
  <si>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</si>
  <si>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</si>
  <si>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</si>
  <si>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</si>
  <si>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</si>
  <si>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</si>
  <si>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</si>
  <si>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</si>
  <si>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</si>
  <si>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</si>
  <si>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</si>
  <si>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</si>
  <si>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</si>
  <si>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</si>
  <si>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</si>
  <si>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</si>
  <si>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</si>
  <si>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</si>
  <si>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</si>
  <si>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</si>
  <si>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</si>
  <si>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</si>
  <si>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</si>
  <si>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</si>
  <si>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</si>
  <si>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</si>
  <si>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</si>
  <si>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</si>
  <si>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</si>
  <si>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</si>
  <si>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</si>
  <si>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</si>
  <si>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</si>
  <si>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</si>
  <si>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</si>
  <si>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</si>
  <si>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</si>
  <si>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</si>
  <si>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</si>
  <si>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</si>
  <si>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</si>
  <si>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</si>
  <si>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</si>
  <si>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</si>
  <si>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</si>
  <si>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</si>
  <si>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</si>
  <si>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</si>
  <si>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</si>
  <si>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</si>
  <si>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</si>
  <si>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</si>
  <si>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</si>
  <si>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</si>
  <si>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</si>
  <si>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</si>
  <si>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</si>
  <si>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</si>
  <si>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</si>
  <si>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</si>
  <si>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</si>
  <si>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</si>
  <si>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</si>
  <si>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</si>
  <si>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</si>
  <si>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</si>
  <si>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</si>
  <si>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</si>
  <si>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</si>
  <si>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</si>
  <si>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</si>
  <si>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</si>
  <si>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</si>
  <si>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</si>
  <si>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</si>
  <si>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</si>
  <si>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</si>
  <si>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</si>
  <si>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</si>
  <si>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</si>
  <si>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</si>
  <si>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</si>
  <si>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</si>
  <si>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</si>
  <si>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</si>
  <si>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</si>
  <si>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</si>
  <si>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</si>
  <si>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</si>
  <si>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</si>
  <si>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</si>
  <si>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</si>
  <si>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</si>
  <si>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</si>
  <si>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</si>
  <si>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</si>
  <si>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</si>
  <si>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</si>
  <si>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</si>
  <si>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</si>
  <si>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</si>
  <si>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</si>
  <si>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</si>
  <si>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</si>
  <si>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</si>
  <si>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</si>
  <si>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</si>
  <si>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</si>
  <si>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</si>
  <si>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</si>
  <si>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</si>
  <si>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</si>
  <si>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</si>
  <si>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</si>
  <si>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</si>
  <si>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</si>
  <si>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</si>
  <si>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</si>
  <si>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</si>
  <si>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</si>
  <si>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</si>
  <si>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</si>
  <si>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</si>
  <si>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</si>
  <si>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</si>
  <si>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</si>
  <si>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</si>
  <si>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</si>
  <si>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</si>
  <si>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</si>
  <si>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</si>
  <si>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</si>
  <si>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</si>
  <si>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</si>
  <si>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</si>
  <si>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</si>
  <si>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</si>
  <si>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</si>
  <si>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</si>
  <si>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</si>
  <si>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</si>
  <si>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</si>
  <si>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</si>
  <si>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</si>
  <si>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</si>
  <si>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</si>
  <si>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</si>
  <si>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</si>
  <si>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</si>
  <si>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</si>
  <si>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</si>
  <si>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</si>
  <si>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</si>
  <si>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</si>
  <si>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</si>
  <si>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</si>
  <si>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</si>
  <si>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</si>
  <si>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</si>
  <si>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</si>
  <si>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</si>
  <si>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</si>
  <si>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</si>
  <si>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</si>
  <si>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</si>
  <si>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</si>
  <si>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</si>
  <si>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</si>
  <si>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</si>
  <si>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</si>
  <si>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</si>
  <si>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</si>
  <si>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</si>
  <si>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</si>
  <si>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</si>
  <si>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</si>
  <si>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</si>
  <si>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</si>
  <si>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</si>
  <si>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</si>
  <si>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</si>
  <si>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</si>
  <si>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</si>
  <si>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</si>
  <si>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</si>
  <si>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</si>
  <si>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</si>
  <si>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</si>
  <si>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</si>
  <si>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</si>
  <si>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</si>
  <si>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</si>
  <si>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</si>
  <si>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</si>
  <si>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</si>
  <si>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</si>
  <si>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</si>
  <si>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</si>
  <si>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</si>
  <si>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</si>
  <si>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</si>
  <si>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</si>
  <si>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</si>
  <si>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</si>
  <si>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</si>
  <si>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</si>
  <si>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</si>
  <si>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</si>
  <si>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</si>
  <si>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</si>
  <si>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</si>
  <si>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</si>
  <si>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</si>
  <si>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</si>
  <si>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</si>
  <si>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</si>
  <si>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</si>
  <si>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</si>
  <si>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</si>
  <si>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</si>
  <si>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</si>
  <si>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</si>
  <si>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</si>
  <si>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</si>
  <si>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</si>
  <si>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</si>
  <si>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</si>
  <si>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</si>
  <si>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</si>
  <si>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</si>
  <si>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</si>
  <si>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</si>
  <si>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</si>
  <si>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</si>
  <si>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</si>
  <si>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</si>
  <si>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</si>
  <si>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</si>
  <si>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</si>
  <si>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</si>
  <si>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</si>
  <si>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</si>
  <si>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</si>
  <si>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</si>
  <si>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</si>
  <si>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</si>
  <si>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</si>
  <si>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</si>
  <si>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</si>
  <si>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</si>
  <si>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</si>
  <si>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</si>
  <si>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</si>
  <si>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</si>
  <si>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</si>
  <si>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</si>
  <si>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</si>
  <si>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</si>
  <si>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</si>
  <si>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</si>
  <si>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</si>
  <si>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</si>
  <si>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</si>
  <si>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</si>
  <si>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</si>
  <si>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</si>
  <si>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</si>
  <si>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</si>
  <si>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</si>
  <si>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</si>
  <si>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</si>
  <si>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</si>
  <si>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</si>
  <si>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</si>
  <si>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</si>
  <si>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</si>
  <si>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</si>
  <si>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</si>
  <si>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</si>
  <si>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</si>
  <si>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</si>
  <si>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</si>
  <si>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</si>
  <si>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</si>
  <si>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</si>
  <si>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</si>
  <si>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</si>
  <si>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</si>
  <si>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</si>
  <si>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</si>
  <si>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</si>
  <si>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</si>
  <si>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</si>
  <si>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</si>
  <si>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</si>
  <si>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</si>
  <si>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</si>
  <si>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</si>
  <si>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</si>
  <si>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</si>
  <si>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</si>
  <si>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</si>
  <si>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</si>
  <si>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</si>
  <si>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</si>
  <si>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</si>
  <si>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</si>
  <si>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</si>
  <si>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</si>
  <si>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</si>
  <si>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</si>
  <si>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</si>
  <si>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</si>
  <si>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</si>
  <si>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</si>
  <si>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</si>
  <si>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</si>
  <si>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</si>
  <si>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</si>
  <si>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</si>
  <si>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</si>
  <si>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</si>
  <si>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</si>
  <si>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</si>
  <si>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</si>
  <si>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</si>
  <si>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</si>
  <si>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</si>
  <si>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</si>
  <si>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</si>
  <si>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</si>
  <si>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</si>
  <si>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</si>
  <si>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</si>
  <si>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</si>
  <si>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</si>
  <si>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</si>
  <si>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是</t>
  </si>
  <si>
    <t>地上</t>
  </si>
  <si>
    <t>建筑面积</t>
  </si>
  <si>
    <t>人防</t>
  </si>
  <si>
    <t>负3层</t>
  </si>
  <si>
    <t>负2层</t>
  </si>
  <si>
    <t>负1层夹层</t>
  </si>
  <si>
    <t>负1层</t>
  </si>
  <si>
    <t>附属用房1</t>
  </si>
  <si>
    <t>附属用房2</t>
  </si>
  <si>
    <t>地上办公</t>
  </si>
  <si>
    <t>地上设备</t>
  </si>
  <si>
    <t>地下车库</t>
  </si>
  <si>
    <t>地下设备</t>
  </si>
  <si>
    <t>地下</t>
  </si>
  <si>
    <t>工业</t>
    <phoneticPr fontId="7" type="noConversion"/>
  </si>
  <si>
    <t>车库</t>
    <phoneticPr fontId="7" type="noConversion"/>
  </si>
  <si>
    <t>现房</t>
  </si>
  <si>
    <t>工业项目</t>
  </si>
  <si>
    <t>无</t>
  </si>
  <si>
    <t>否</t>
  </si>
  <si>
    <t>通路</t>
  </si>
  <si>
    <t>通电</t>
  </si>
  <si>
    <t>通讯</t>
  </si>
  <si>
    <t>通上水</t>
  </si>
  <si>
    <t>通下水</t>
  </si>
  <si>
    <t>平整</t>
  </si>
  <si>
    <t>总</t>
  </si>
  <si>
    <t>建安造价</t>
  </si>
  <si>
    <t>总造价</t>
  </si>
  <si>
    <t>主体（含屋面、外装）</t>
  </si>
  <si>
    <t>装修</t>
  </si>
  <si>
    <t>机电设备</t>
  </si>
  <si>
    <t>室外工程</t>
  </si>
  <si>
    <t>占比</t>
  </si>
  <si>
    <t>主体</t>
  </si>
  <si>
    <t>设备</t>
  </si>
  <si>
    <t>室外</t>
  </si>
  <si>
    <t>高层</t>
  </si>
  <si>
    <t>多层</t>
  </si>
  <si>
    <t>-</t>
  </si>
  <si>
    <t>建筑类型</t>
    <phoneticPr fontId="134" type="noConversion"/>
  </si>
  <si>
    <t>成新度</t>
  </si>
  <si>
    <t>收益法</t>
    <phoneticPr fontId="16" type="noConversion"/>
  </si>
  <si>
    <t>收益法-办公</t>
  </si>
  <si>
    <t>收益法-办公</t>
    <phoneticPr fontId="16" type="noConversion"/>
  </si>
  <si>
    <t>收益法-车库</t>
  </si>
  <si>
    <t>收益法-车库</t>
    <phoneticPr fontId="16" type="noConversion"/>
  </si>
  <si>
    <t>估价对象容积率</t>
  </si>
  <si>
    <t>不临65条商业街</t>
  </si>
  <si>
    <t>Ⅶ-门1</t>
  </si>
  <si>
    <t>钢混</t>
  </si>
  <si>
    <t>非生产用房</t>
  </si>
  <si>
    <t>成本法</t>
  </si>
  <si>
    <t>收益法（汇总）</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</si>
  <si>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</si>
  <si>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</si>
  <si>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</si>
  <si>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</si>
  <si>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</si>
  <si>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</si>
  <si>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</si>
  <si>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</si>
  <si>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</si>
  <si>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</si>
  <si>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</si>
  <si>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</si>
  <si>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</si>
  <si>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</si>
  <si>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</si>
  <si>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</si>
  <si>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</si>
  <si>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</si>
  <si>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</si>
  <si>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成交每亩价(万元/亩)</t>
  </si>
  <si>
    <t>成交楼面价(元/㎡)</t>
  </si>
  <si>
    <t>溢价率(%)</t>
  </si>
  <si>
    <t>出让年限(年)</t>
  </si>
  <si>
    <t>北京市石景山区中关村科技园石景山园北Ⅱ区西井地块土地一级开发项目1606-605地块B23研发设计用地</t>
  </si>
  <si>
    <t>北京市</t>
  </si>
  <si>
    <t>京土储挂(石)[2022]070号</t>
  </si>
  <si>
    <t xml:space="preserve"> 商业/办公用地</t>
  </si>
  <si>
    <t xml:space="preserve"> 挂牌</t>
  </si>
  <si>
    <t xml:space="preserve"> B23研发设计用地</t>
  </si>
  <si>
    <t xml:space="preserve">-- </t>
  </si>
  <si>
    <t xml:space="preserve"> 已成交</t>
  </si>
  <si>
    <t xml:space="preserve"> 北京中关村工业互联网产业发展有限公司  </t>
  </si>
  <si>
    <t>2023-01-04 15:00</t>
  </si>
  <si>
    <t xml:space="preserve"> 50年</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</si>
  <si>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</si>
  <si>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</si>
  <si>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</si>
  <si>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</si>
  <si>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2021-10-25 15:00</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</si>
  <si>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</si>
  <si>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</si>
  <si>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</si>
  <si>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</si>
  <si>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</si>
  <si>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</si>
  <si>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2020-12-11 15:00</t>
  </si>
  <si>
    <t xml:space="preserve"> 商业40年、办公50年</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</si>
  <si>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</si>
  <si>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</si>
  <si>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</si>
  <si>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</si>
  <si>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</si>
  <si>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</si>
  <si>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</si>
  <si>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</si>
  <si>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</si>
  <si>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</si>
  <si>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</si>
  <si>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</si>
  <si>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</si>
  <si>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</si>
  <si>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</si>
  <si>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</si>
  <si>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</si>
  <si>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</si>
  <si>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</si>
  <si>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</si>
  <si>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</si>
  <si>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</si>
  <si>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</si>
  <si>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</si>
  <si>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</si>
  <si>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</si>
  <si>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</si>
  <si>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</si>
  <si>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</si>
  <si>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</si>
  <si>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</si>
  <si>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</si>
  <si>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</si>
  <si>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 xml:space="preserve"> 商业40年、综合50年</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</si>
  <si>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</si>
  <si>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</si>
  <si>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</si>
  <si>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</si>
  <si>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</si>
  <si>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</si>
  <si>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</si>
  <si>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</si>
  <si>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 xml:space="preserve"> --</t>
  </si>
  <si>
    <t>石景山区鲁谷路C2商业金融用地(原北京市弹簧厂)</t>
  </si>
  <si>
    <t>京土整储挂(石)[2013]025号</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</si>
  <si>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</si>
  <si>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</si>
  <si>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</si>
  <si>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</si>
  <si>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</si>
  <si>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 xml:space="preserve"> 商业:40年、综合:50年</t>
  </si>
  <si>
    <t>石景山区银河商务区二期</t>
  </si>
  <si>
    <t>京土整储招(石)[2007]022号</t>
  </si>
  <si>
    <t xml:space="preserve"> 公共设施用地(C)</t>
  </si>
  <si>
    <t xml:space="preserve"> 大连万达集团股份有限公司  </t>
  </si>
  <si>
    <t xml:space="preserve"> 商业40年综合50年</t>
  </si>
  <si>
    <t>石景山区鲁谷银河商务区I地块商业金融项目用地</t>
  </si>
  <si>
    <t>京土整储招(石)[2007]056号</t>
  </si>
  <si>
    <t xml:space="preserve"> 商业金融</t>
  </si>
  <si>
    <t xml:space="preserve"> 北京高校房地产开发总公司 、锡华实业投资集团有限公司投标联合体  </t>
  </si>
  <si>
    <t xml:space="preserve"> 商业40年</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</si>
  <si>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</si>
  <si>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</si>
  <si>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</si>
  <si>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</si>
  <si>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</si>
  <si>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</si>
  <si>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 xml:space="preserve"> 40年</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</si>
  <si>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</si>
  <si>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</si>
  <si>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</si>
  <si>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</si>
  <si>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</si>
  <si>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</si>
  <si>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 xml:space="preserve"> --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</si>
  <si>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</si>
  <si>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</si>
  <si>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</si>
  <si>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</si>
  <si>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</si>
  <si>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</si>
  <si>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</si>
  <si>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</si>
  <si>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</si>
  <si>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</si>
  <si>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</si>
  <si>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</si>
  <si>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</si>
  <si>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</si>
  <si>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</si>
  <si>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</si>
  <si>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</si>
  <si>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</si>
  <si>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</si>
  <si>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</si>
  <si>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</si>
  <si>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</si>
  <si>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</si>
  <si>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</si>
  <si>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商办用地</t>
  </si>
  <si>
    <t>商办用地</t>
    <phoneticPr fontId="30" type="noConversion"/>
  </si>
  <si>
    <t>无自持</t>
  </si>
  <si>
    <t>无自持</t>
    <phoneticPr fontId="30" type="noConversion"/>
  </si>
  <si>
    <t>自持20年</t>
  </si>
  <si>
    <t>七通</t>
  </si>
  <si>
    <t>六通</t>
  </si>
  <si>
    <t>五通</t>
  </si>
  <si>
    <t>四通</t>
  </si>
  <si>
    <t>三通</t>
  </si>
  <si>
    <t>一般</t>
  </si>
  <si>
    <t>较好</t>
  </si>
  <si>
    <t>正常</t>
  </si>
  <si>
    <t>是否自持</t>
    <phoneticPr fontId="30" type="noConversion"/>
  </si>
  <si>
    <t>无自持</t>
    <phoneticPr fontId="30" type="noConversion"/>
  </si>
  <si>
    <t>自持满年限</t>
    <phoneticPr fontId="30" type="noConversion"/>
  </si>
  <si>
    <t>自持满年限</t>
    <phoneticPr fontId="30" type="noConversion"/>
  </si>
  <si>
    <t>未包含在土地购买价格中</t>
  </si>
  <si>
    <t>全部缴纳</t>
  </si>
  <si>
    <t>已包含在土地取得成本中</t>
  </si>
  <si>
    <t>总价</t>
  </si>
  <si>
    <t>公共服务</t>
  </si>
  <si>
    <t>与级别开发程度一致</t>
  </si>
  <si>
    <t>较差</t>
  </si>
  <si>
    <t>好</t>
  </si>
  <si>
    <t>押一</t>
  </si>
  <si>
    <t>自定义</t>
  </si>
  <si>
    <t>研发设计</t>
  </si>
  <si>
    <t>研发设计</t>
    <phoneticPr fontId="30" type="noConversion"/>
  </si>
  <si>
    <t>建筑物价值</t>
  </si>
  <si>
    <t>收益比例</t>
    <phoneticPr fontId="134" type="noConversion"/>
  </si>
  <si>
    <t>成本比率</t>
    <phoneticPr fontId="134" type="noConversion"/>
  </si>
  <si>
    <t>加权平均</t>
  </si>
  <si>
    <t>企业</t>
  </si>
  <si>
    <t>政府办公/乙级办公楼</t>
  </si>
  <si>
    <t xml:space="preserve"> B23研发设计用地</t>
    <phoneticPr fontId="134" type="noConversion"/>
  </si>
  <si>
    <t xml:space="preserve"> B4综合性商业金融服务业用地</t>
    <phoneticPr fontId="134" type="noConversion"/>
  </si>
  <si>
    <t>其他省市系数</t>
  </si>
  <si>
    <t>车库—办公</t>
  </si>
  <si>
    <t>科教用地</t>
  </si>
  <si>
    <t>科教用地</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</si>
</sst>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47" fillId="18" borderId="1" xfId="1" applyNumberFormat="1" applyFont="1" applyFill="1" applyBorder="1" applyAlignment="1" applyProtection="1">
      <alignment horizontal="center" vertical="center"/>
      <protection locked="0"/>
    </xf>
    <xf numFmtId="177" fontId="44" fillId="18" borderId="1" xfId="1"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0" fontId="0" fillId="5" borderId="0" xfId="0" applyFill="1">
      <alignment vertical="center"/>
    </xf>
    <xf numFmtId="14" fontId="0" fillId="5" borderId="0" xfId="0" applyNumberFormat="1" applyFill="1">
      <alignment vertical="center"/>
    </xf>
    <xf numFmtId="181" fontId="44" fillId="0" borderId="1" xfId="0" applyNumberFormat="1" applyFont="1" applyFill="1" applyBorder="1" applyAlignment="1" applyProtection="1">
      <alignment vertical="center"/>
      <protection locked="0"/>
    </xf>
    <xf numFmtId="0" fontId="114" fillId="0" borderId="0" xfId="0" applyFont="1" applyProtection="1">
      <alignment vertical="center"/>
      <protection locked="0"/>
    </xf>
    <xf numFmtId="10" fontId="47" fillId="18" borderId="1" xfId="1" applyNumberFormat="1" applyFont="1" applyFill="1" applyBorder="1" applyAlignment="1" applyProtection="1">
      <alignment horizontal="center" vertical="center"/>
      <protection locked="0"/>
    </xf>
    <xf numFmtId="10" fontId="44" fillId="18" borderId="1" xfId="1"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0" fillId="0" borderId="0" xfId="0" applyAlignment="1">
      <alignment vertical="center" wrapText="1"/>
    </xf>
    <xf numFmtId="0" fontId="0" fillId="0" borderId="0" xfId="0" applyProtection="1">
      <alignment vertical="center"/>
      <protection locked="0"/>
    </xf>
    <xf numFmtId="179" fontId="47" fillId="12" borderId="0" xfId="0" applyNumberFormat="1" applyFont="1" applyFill="1" applyAlignment="1" applyProtection="1">
      <alignment horizontal="center" vertical="center"/>
      <protection locked="0"/>
    </xf>
    <xf numFmtId="14" fontId="47" fillId="18" borderId="13" xfId="0" applyNumberFormat="1" applyFont="1" applyFill="1" applyBorder="1" applyAlignment="1" applyProtection="1">
      <alignment horizontal="left" vertical="center"/>
      <protection locked="0"/>
    </xf>
    <xf numFmtId="0" fontId="0" fillId="22" borderId="0" xfId="0" applyFill="1">
      <alignment vertical="center"/>
    </xf>
    <xf numFmtId="14" fontId="0" fillId="22" borderId="0" xfId="0" applyNumberFormat="1" applyFill="1">
      <alignment vertical="center"/>
    </xf>
    <xf numFmtId="0" fontId="95" fillId="22" borderId="0" xfId="0" applyFont="1" applyFill="1">
      <alignment vertical="center"/>
    </xf>
    <xf numFmtId="177" fontId="44" fillId="18" borderId="5" xfId="1" applyNumberFormat="1" applyFont="1" applyFill="1" applyBorder="1" applyAlignment="1" applyProtection="1">
      <alignment vertical="center"/>
      <protection locked="0"/>
    </xf>
    <xf numFmtId="0" fontId="107" fillId="6" borderId="1" xfId="0" applyNumberFormat="1" applyFont="1" applyFill="1" applyBorder="1" applyAlignment="1" applyProtection="1">
      <alignment horizontal="left" vertical="center" wrapText="1"/>
      <protection locked="0"/>
    </xf>
    <xf numFmtId="0" fontId="53" fillId="18" borderId="1" xfId="0" applyFont="1" applyFill="1" applyBorder="1" applyAlignment="1" applyProtection="1">
      <alignment horizontal="center" vertical="center" wrapText="1"/>
    </xf>
    <xf numFmtId="179" fontId="53" fillId="18" borderId="1" xfId="1" applyNumberFormat="1" applyFont="1" applyFill="1" applyBorder="1" applyAlignment="1" applyProtection="1">
      <alignment horizontal="center"/>
    </xf>
    <xf numFmtId="177" fontId="53" fillId="18" borderId="5" xfId="1" applyNumberFormat="1" applyFont="1" applyFill="1" applyBorder="1" applyAlignment="1" applyProtection="1">
      <alignment horizont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0" fillId="0" borderId="0" xfId="0"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0" fillId="0" borderId="0" xfId="0"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受贵公司委托，我公司对北京市进行了预评估。</v>
      </c>
    </row>
    <row r="7" spans="1:2" s="1198" customFormat="1">
      <c r="A7" s="1196" t="s">
        <v>566</v>
      </c>
      <c r="B7" s="1197" t="str">
        <f>'预评函-1'!A7</f>
        <v>估价对象为北京市房地产，为所有。根据《国有土地使用证》[]，估价对象（分摊）出让国有建设用地使用权面积为6294.36平方米，建筑面积为39707.96平方米。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估价对象为北京市房地产,属开发建设的工业项目，该项目尚在开发建设中。根据《国有土地使用证》[]，估价对象（分摊）出让国有建设用地使用权面积为6294.36平方米，规划建筑面积为39707.96平方米。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2024年1月31日（评估专业人员实地查勘之日）</v>
      </c>
    </row>
    <row r="13" spans="1:2" s="1198" customFormat="1">
      <c r="A13" s="1196" t="s">
        <v>529</v>
      </c>
      <c r="B13" s="1197"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64238</v>
      </c>
    </row>
    <row r="21" spans="1:2" s="1198" customFormat="1">
      <c r="A21" s="1196" t="s">
        <v>537</v>
      </c>
      <c r="B21" s="1197">
        <f ca="1">'预评函-2'!D7</f>
        <v>16178</v>
      </c>
    </row>
    <row r="22" spans="1:2" s="1198" customFormat="1">
      <c r="A22" s="1196" t="s">
        <v>538</v>
      </c>
      <c r="B22" s="1197" t="str">
        <f ca="1">'预评函-2'!D6</f>
        <v>陆亿肆仟贰佰叁拾捌万元整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64238</v>
      </c>
    </row>
    <row r="31" spans="1:2" s="1198" customFormat="1">
      <c r="A31" s="1196" t="s">
        <v>576</v>
      </c>
      <c r="B31" s="1197">
        <f ca="1">'预评函-2'!D15</f>
        <v>16178</v>
      </c>
    </row>
    <row r="32" spans="1:2" s="1198" customFormat="1">
      <c r="A32" s="1196" t="s">
        <v>543</v>
      </c>
      <c r="B32" s="1197" t="str">
        <f ca="1">'预评函-2'!D14</f>
        <v>陆亿肆仟贰佰叁拾捌万元整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39707.960000000006</v>
      </c>
    </row>
    <row r="44" spans="1:2" s="1198" customFormat="1">
      <c r="A44" s="1196" t="s">
        <v>575</v>
      </c>
      <c r="B44" s="1197" t="str">
        <f>'预评函-3'!C2</f>
        <v>(分摊)土地面积</v>
      </c>
    </row>
    <row r="45" spans="1:2" s="1198" customFormat="1">
      <c r="A45" s="1196" t="s">
        <v>547</v>
      </c>
      <c r="B45" s="1197">
        <f>'预评函-3'!C4</f>
        <v>6294.36</v>
      </c>
    </row>
    <row r="46" spans="1:2" s="1198" customFormat="1">
      <c r="A46" s="1196" t="s">
        <v>573</v>
      </c>
      <c r="B46" s="1197" t="str">
        <f>'预评函-3'!D2</f>
        <v>出让国有建设用地使用权价值</v>
      </c>
    </row>
    <row r="47" spans="1:2" s="1198" customFormat="1">
      <c r="A47" s="1196" t="s">
        <v>548</v>
      </c>
      <c r="B47" s="1197">
        <f ca="1">'预评函-3'!D4</f>
        <v>43958</v>
      </c>
    </row>
    <row r="48" spans="1:2" s="1198" customFormat="1">
      <c r="A48" s="1196" t="s">
        <v>549</v>
      </c>
      <c r="B48" s="1197">
        <f ca="1">'预评函-3'!E4</f>
        <v>11070</v>
      </c>
    </row>
    <row r="49" spans="1:2" s="1198" customFormat="1">
      <c r="A49" s="1196" t="s">
        <v>550</v>
      </c>
      <c r="B49" s="1197" t="str">
        <f ca="1">'预评函-3'!D5</f>
        <v>肆亿叁仟玖佰伍拾捌万元整</v>
      </c>
    </row>
    <row r="50" spans="1:2" s="1198" customFormat="1">
      <c r="A50" s="1196" t="s">
        <v>574</v>
      </c>
      <c r="B50" s="1197" t="str">
        <f>'预评函-3'!F2</f>
        <v>建筑物价值</v>
      </c>
    </row>
    <row r="51" spans="1:2" s="1198" customFormat="1">
      <c r="A51" s="1196" t="s">
        <v>551</v>
      </c>
      <c r="B51" s="1197">
        <f ca="1">'预评函-3'!F4</f>
        <v>20280</v>
      </c>
    </row>
    <row r="52" spans="1:2" s="1198" customFormat="1">
      <c r="A52" s="1196" t="s">
        <v>552</v>
      </c>
      <c r="B52" s="1197">
        <f ca="1">'预评函-3'!G4</f>
        <v>5107</v>
      </c>
    </row>
    <row r="53" spans="1:2" s="1198" customFormat="1">
      <c r="A53" s="1196" t="s">
        <v>580</v>
      </c>
      <c r="B53" s="1197" t="str">
        <f ca="1">'预评函-3'!F5</f>
        <v>贰亿零贰佰捌拾万元整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3352</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3338</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3339</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3340</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4" t="s">
        <v>3424</v>
      </c>
      <c r="C5" s="1542" t="s">
        <v>318</v>
      </c>
      <c r="F5" s="1543" t="s">
        <v>1015</v>
      </c>
      <c r="G5" s="1543">
        <v>70</v>
      </c>
      <c r="H5" s="1543" t="s">
        <v>1016</v>
      </c>
      <c r="I5" s="1543" t="s">
        <v>3341</v>
      </c>
      <c r="K5" s="1543" t="s">
        <v>1017</v>
      </c>
      <c r="L5" s="1543" t="s">
        <v>1017</v>
      </c>
      <c r="M5" s="1543" t="s">
        <v>1017</v>
      </c>
      <c r="N5" s="1543" t="s">
        <v>1017</v>
      </c>
      <c r="O5" s="1543" t="s">
        <v>1017</v>
      </c>
      <c r="P5" s="1543" t="s">
        <v>1017</v>
      </c>
      <c r="Q5" s="1543" t="s">
        <v>1017</v>
      </c>
      <c r="R5" s="1543" t="s">
        <v>445</v>
      </c>
      <c r="S5" s="1543" t="s">
        <v>1017</v>
      </c>
      <c r="T5" s="1543" t="s">
        <v>1018</v>
      </c>
      <c r="U5" s="1543" t="s">
        <v>1017</v>
      </c>
      <c r="W5" s="1543" t="s">
        <v>1017</v>
      </c>
    </row>
    <row r="6" spans="1:23">
      <c r="A6" s="1541" t="s">
        <v>1019</v>
      </c>
      <c r="B6" s="1544" t="s">
        <v>449</v>
      </c>
      <c r="C6" s="1547" t="s">
        <v>24</v>
      </c>
      <c r="F6" s="1543" t="s">
        <v>1016</v>
      </c>
      <c r="H6" s="1543" t="s">
        <v>1020</v>
      </c>
      <c r="I6" s="1543" t="s">
        <v>3342</v>
      </c>
      <c r="K6" s="1543" t="s">
        <v>1021</v>
      </c>
      <c r="L6" s="1543" t="s">
        <v>1021</v>
      </c>
      <c r="M6" s="1543" t="s">
        <v>1021</v>
      </c>
      <c r="N6" s="1543" t="s">
        <v>1021</v>
      </c>
      <c r="O6" s="1543" t="s">
        <v>1021</v>
      </c>
      <c r="P6" s="1543" t="s">
        <v>1021</v>
      </c>
      <c r="Q6" s="1543" t="s">
        <v>1021</v>
      </c>
      <c r="R6" s="1543" t="s">
        <v>446</v>
      </c>
      <c r="S6" s="1543" t="s">
        <v>1021</v>
      </c>
      <c r="T6" s="1543"/>
      <c r="U6" s="1543" t="s">
        <v>1021</v>
      </c>
      <c r="W6" s="1543" t="s">
        <v>1021</v>
      </c>
    </row>
    <row r="7" spans="1:23">
      <c r="A7" s="1541" t="s">
        <v>1022</v>
      </c>
      <c r="B7" s="1544" t="s">
        <v>450</v>
      </c>
      <c r="C7" s="1542" t="s">
        <v>25</v>
      </c>
      <c r="F7" s="1543" t="s">
        <v>1023</v>
      </c>
      <c r="H7" s="1543" t="s">
        <v>1024</v>
      </c>
      <c r="I7" s="1543" t="s">
        <v>3343</v>
      </c>
    </row>
    <row r="8" spans="1:23">
      <c r="A8" s="1541" t="s">
        <v>1025</v>
      </c>
      <c r="B8" s="1541" t="s">
        <v>1026</v>
      </c>
      <c r="C8" s="1542" t="s">
        <v>319</v>
      </c>
      <c r="F8" s="1543" t="s">
        <v>1027</v>
      </c>
      <c r="H8" s="1543" t="s">
        <v>2578</v>
      </c>
      <c r="I8" s="1543" t="s">
        <v>3344</v>
      </c>
    </row>
    <row r="9" spans="1:23">
      <c r="A9" s="1541" t="s">
        <v>1028</v>
      </c>
      <c r="B9" s="1541" t="s">
        <v>1029</v>
      </c>
      <c r="C9" s="1542" t="s">
        <v>320</v>
      </c>
      <c r="F9" s="1543" t="s">
        <v>1030</v>
      </c>
      <c r="H9" s="1543"/>
      <c r="I9" s="1546" t="s">
        <v>3345</v>
      </c>
    </row>
    <row r="10" spans="1:23">
      <c r="A10" s="1541" t="s">
        <v>1031</v>
      </c>
      <c r="B10" s="1541" t="s">
        <v>1032</v>
      </c>
      <c r="C10" s="1542" t="s">
        <v>321</v>
      </c>
      <c r="F10" s="1543" t="s">
        <v>2579</v>
      </c>
      <c r="I10" s="1546" t="s">
        <v>3346</v>
      </c>
    </row>
    <row r="11" spans="1:23">
      <c r="A11" s="1541" t="s">
        <v>1033</v>
      </c>
      <c r="B11" s="1541" t="s">
        <v>1034</v>
      </c>
      <c r="C11" s="1542" t="s">
        <v>322</v>
      </c>
      <c r="F11" s="1543" t="s">
        <v>13</v>
      </c>
      <c r="I11" s="1546" t="s">
        <v>3347</v>
      </c>
    </row>
    <row r="12" spans="1:23">
      <c r="A12" s="1541" t="s">
        <v>1035</v>
      </c>
      <c r="B12" s="1541" t="s">
        <v>1036</v>
      </c>
      <c r="C12" s="1542" t="s">
        <v>323</v>
      </c>
      <c r="I12" s="1546" t="s">
        <v>3348</v>
      </c>
    </row>
    <row r="13" spans="1:23">
      <c r="A13" s="1541" t="s">
        <v>1037</v>
      </c>
      <c r="B13" s="1541" t="s">
        <v>1038</v>
      </c>
      <c r="C13" s="1542" t="s">
        <v>324</v>
      </c>
      <c r="I13" s="1546" t="s">
        <v>3349</v>
      </c>
    </row>
    <row r="14" spans="1:23">
      <c r="A14" s="1541" t="s">
        <v>1039</v>
      </c>
      <c r="B14" s="1541" t="s">
        <v>1040</v>
      </c>
      <c r="C14" s="1543" t="s">
        <v>13</v>
      </c>
      <c r="I14" s="1546" t="s">
        <v>3350</v>
      </c>
    </row>
    <row r="15" spans="1:23">
      <c r="A15" s="1541" t="s">
        <v>1041</v>
      </c>
      <c r="B15" s="1541" t="s">
        <v>1042</v>
      </c>
      <c r="C15" s="1542"/>
      <c r="I15" s="1546" t="s">
        <v>3351</v>
      </c>
    </row>
    <row r="16" spans="1:23">
      <c r="A16" s="1541" t="s">
        <v>1043</v>
      </c>
      <c r="B16" s="1541" t="s">
        <v>312</v>
      </c>
      <c r="C16" s="1542"/>
    </row>
    <row r="17" spans="1:3">
      <c r="A17" s="1541" t="s">
        <v>1044</v>
      </c>
      <c r="B17" s="1541" t="s">
        <v>2290</v>
      </c>
      <c r="C17" s="1542"/>
    </row>
    <row r="18" spans="1:3">
      <c r="A18" s="1541" t="s">
        <v>1045</v>
      </c>
      <c r="B18" s="1541" t="s">
        <v>2434</v>
      </c>
      <c r="C18" s="1542"/>
    </row>
    <row r="19" spans="1:3">
      <c r="A19" s="1541" t="s">
        <v>1046</v>
      </c>
      <c r="B19" s="1541" t="s">
        <v>3426</v>
      </c>
      <c r="C19" s="1542"/>
    </row>
    <row r="20" spans="1:3">
      <c r="A20" s="1541" t="s">
        <v>1047</v>
      </c>
      <c r="B20" s="1541" t="s">
        <v>3428</v>
      </c>
      <c r="C20" s="1542"/>
    </row>
    <row r="21" spans="1:3">
      <c r="A21" s="1541" t="s">
        <v>1048</v>
      </c>
      <c r="B21" s="1541" t="s">
        <v>313</v>
      </c>
      <c r="C21" s="1542"/>
    </row>
    <row r="22" spans="1:3">
      <c r="A22" s="1541" t="s">
        <v>1049</v>
      </c>
      <c r="B22" s="1541" t="s">
        <v>313</v>
      </c>
      <c r="C22" s="1542"/>
    </row>
    <row r="23" spans="1:3">
      <c r="A23" s="1541" t="s">
        <v>1050</v>
      </c>
      <c r="B23" s="1541" t="s">
        <v>313</v>
      </c>
      <c r="C23" s="1542"/>
    </row>
    <row r="24" spans="1:3">
      <c r="A24" s="1541" t="s">
        <v>1051</v>
      </c>
      <c r="B24" s="1541" t="s">
        <v>313</v>
      </c>
      <c r="C24" s="1542"/>
    </row>
    <row r="25" spans="1:3">
      <c r="A25" s="1541" t="s">
        <v>1052</v>
      </c>
      <c r="B25" s="1541" t="s">
        <v>313</v>
      </c>
      <c r="C25" s="1542"/>
    </row>
    <row r="26" spans="1:3">
      <c r="A26" s="1541" t="s">
        <v>1053</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28"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49" t="s">
        <v>385</v>
      </c>
      <c r="C54" s="1546" t="s">
        <v>583</v>
      </c>
    </row>
    <row r="55" spans="1:4">
      <c r="A55" s="3528"/>
      <c r="B55" s="1549" t="s">
        <v>386</v>
      </c>
      <c r="C55" s="1546" t="s">
        <v>584</v>
      </c>
    </row>
    <row r="56" spans="1:4">
      <c r="A56" s="3528"/>
      <c r="B56" s="1549" t="s">
        <v>387</v>
      </c>
      <c r="C56" s="1546" t="s">
        <v>588</v>
      </c>
    </row>
    <row r="57" spans="1:4">
      <c r="A57" s="3528"/>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29" t="s">
        <v>2581</v>
      </c>
      <c r="J2" s="3529"/>
      <c r="K2" s="3529"/>
      <c r="L2" s="3529"/>
      <c r="M2" s="3529"/>
      <c r="N2" s="3529"/>
      <c r="O2" s="3529"/>
      <c r="P2" s="3529"/>
      <c r="Q2" s="3529"/>
      <c r="R2" s="3529"/>
    </row>
    <row r="3" spans="1:18">
      <c r="A3" s="3015" t="s">
        <v>2502</v>
      </c>
      <c r="B3" s="3016">
        <f>项目基本情况!D3</f>
        <v>45322</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2.88</v>
      </c>
      <c r="D5" s="3020">
        <f>IF(ISERROR(ROUND(POWER(1+E5,A5-C5)*(POWER(1+E5,C5)-1)/(POWER(1+E5,A5)-1),3)),0,ROUND(POWER(1+E5,A5-C5)*(POWER(1+E5,C5)-1)/(POWER(1+E5,A5)-1),4))</f>
        <v>0.13489999999999999</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12.89</v>
      </c>
      <c r="D6" s="3020">
        <f>IF(ISERROR(ROUND(POWER(1+E6,A6-C6)*(POWER(1+E6,C6)-1)/(POWER(1+E6,A6)-1),3)),0,ROUND(POWER(1+E6,A6-C6)*(POWER(1+E6,C6)-1)/(POWER(1+E6,A6)-1),4))</f>
        <v>0.46179999999999999</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32.9</v>
      </c>
      <c r="D7" s="3020">
        <f>IF(ISERROR(ROUND(POWER(1+E7,A7-C7)*(POWER(1+E7,C7)-1)/(POWER(1+E7,A7)-1),3)),0,ROUND(POWER(1+E7,A7-C7)*(POWER(1+E7,C7)-1)/(POWER(1+E7,A7)-1),4))</f>
        <v>0.77459999999999996</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 sqref="B1:B104857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2165</v>
      </c>
      <c r="B1" s="3538" t="str">
        <f>IF(B10="北京市","北京市",C10)&amp;F10&amp;IF(结果表!G1="在建","出让国有建设用地使用权及在建建筑物",IF(结果表!G1="土地","出让国有建设用地使用权",))&amp;B9&amp;"预评估"</f>
        <v>北京市预评估</v>
      </c>
      <c r="C1" s="3539"/>
      <c r="D1" s="3539"/>
      <c r="E1" s="3539"/>
      <c r="F1" s="3539"/>
      <c r="G1" s="3539"/>
      <c r="H1" s="3539"/>
      <c r="I1" s="3540"/>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v>
      </c>
      <c r="T1" s="1740"/>
      <c r="U1" s="1740"/>
      <c r="V1" s="1740"/>
      <c r="W1" s="1740"/>
      <c r="X1" s="1740"/>
      <c r="Y1" s="1740"/>
      <c r="Z1" s="1740"/>
      <c r="AA1" s="1740"/>
      <c r="AB1" s="1740"/>
    </row>
    <row r="2" spans="1:30">
      <c r="A2" s="2362" t="s">
        <v>2166</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1" t="s">
        <v>2167</v>
      </c>
      <c r="B3" s="2368">
        <v>45322</v>
      </c>
      <c r="C3" s="2369" t="s">
        <v>2168</v>
      </c>
      <c r="D3" s="3479">
        <v>45322</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3380</v>
      </c>
      <c r="C8" s="2385"/>
      <c r="D8" s="3541" t="s">
        <v>2174</v>
      </c>
      <c r="E8" s="2386"/>
      <c r="F8" s="2387"/>
      <c r="G8" s="2658"/>
      <c r="H8" s="2658"/>
      <c r="I8" s="2658"/>
      <c r="J8" s="2434"/>
      <c r="K8" s="2609"/>
      <c r="L8" s="2608"/>
      <c r="M8" s="2608"/>
      <c r="N8" s="2434"/>
      <c r="O8" s="2445"/>
      <c r="P8" s="2434"/>
      <c r="Q8" s="2434"/>
      <c r="R8" s="2434"/>
    </row>
    <row r="9" spans="1:30" ht="13.5" thickBot="1">
      <c r="A9" s="2388" t="s">
        <v>2175</v>
      </c>
      <c r="B9" s="2389"/>
      <c r="C9" s="2390"/>
      <c r="D9" s="3542"/>
      <c r="E9" s="2389"/>
      <c r="F9" s="2391"/>
      <c r="G9" s="2660"/>
      <c r="H9" s="2660"/>
      <c r="I9" s="2660"/>
      <c r="J9" s="2434"/>
      <c r="K9" s="2611"/>
      <c r="L9" s="2608"/>
      <c r="M9" s="2608"/>
      <c r="N9" s="2434"/>
      <c r="O9" s="2445"/>
      <c r="P9" s="2434"/>
      <c r="Q9" s="2434"/>
      <c r="R9" s="2434"/>
    </row>
    <row r="10" spans="1:30" ht="13.5" thickTop="1">
      <c r="A10" s="2392" t="s">
        <v>2176</v>
      </c>
      <c r="B10" s="2393" t="s">
        <v>3460</v>
      </c>
      <c r="C10" s="2394"/>
      <c r="D10" s="2377"/>
      <c r="E10" s="2395" t="s">
        <v>2177</v>
      </c>
      <c r="F10" s="2661"/>
      <c r="G10" s="2662"/>
      <c r="H10" s="2663"/>
      <c r="I10" s="2664"/>
      <c r="J10" s="2434"/>
      <c r="K10" s="2611"/>
      <c r="L10" s="2608"/>
      <c r="M10" s="2608"/>
      <c r="N10" s="2434"/>
      <c r="O10" s="2445"/>
      <c r="P10" s="2434"/>
      <c r="Q10" s="2434"/>
      <c r="R10" s="2434"/>
    </row>
    <row r="11" spans="1:30">
      <c r="A11" s="2396" t="s">
        <v>2178</v>
      </c>
      <c r="B11" s="2397" t="s">
        <v>3615</v>
      </c>
      <c r="C11" s="2398"/>
      <c r="D11" s="2399"/>
      <c r="E11" s="2365"/>
      <c r="F11" s="2365"/>
      <c r="G11" s="2365"/>
      <c r="H11" s="2365"/>
      <c r="I11" s="2365"/>
      <c r="J11" s="3056"/>
      <c r="K11" s="3055"/>
      <c r="L11" s="2608"/>
      <c r="M11" s="2608"/>
      <c r="N11" s="2434"/>
      <c r="O11" s="2445"/>
      <c r="P11" s="2434"/>
      <c r="Q11" s="2434"/>
      <c r="R11" s="2434"/>
    </row>
    <row r="12" spans="1:30">
      <c r="A12" s="2400" t="s">
        <v>2179</v>
      </c>
      <c r="B12" s="322" t="s">
        <v>2180</v>
      </c>
      <c r="C12" s="2401" t="s">
        <v>2181</v>
      </c>
      <c r="D12" s="2401" t="s">
        <v>2182</v>
      </c>
      <c r="E12" s="2401" t="s">
        <v>2183</v>
      </c>
      <c r="F12" s="2401" t="s">
        <v>2184</v>
      </c>
      <c r="G12" s="2401" t="s">
        <v>2185</v>
      </c>
      <c r="H12" s="2401" t="s">
        <v>2186</v>
      </c>
      <c r="I12" s="3054" t="s">
        <v>2577</v>
      </c>
      <c r="J12" s="3057"/>
      <c r="K12" s="2608"/>
      <c r="L12" s="2608"/>
      <c r="M12" s="2434"/>
      <c r="N12" s="2445"/>
      <c r="O12" s="2434"/>
      <c r="P12" s="2434"/>
      <c r="Q12" s="2434"/>
      <c r="AD12" s="1740"/>
    </row>
    <row r="13" spans="1:30">
      <c r="A13" s="3418" t="s">
        <v>3333</v>
      </c>
      <c r="B13" s="2402" t="s">
        <v>2187</v>
      </c>
      <c r="C13" s="854"/>
      <c r="D13" s="854"/>
      <c r="E13" s="854"/>
      <c r="F13" s="854">
        <v>57017</v>
      </c>
      <c r="G13" s="854"/>
      <c r="H13" s="854">
        <v>57017</v>
      </c>
      <c r="I13" s="854">
        <v>57017</v>
      </c>
      <c r="J13" s="3057"/>
      <c r="K13" s="2608"/>
      <c r="L13" s="2608"/>
      <c r="M13" s="2434"/>
      <c r="N13" s="2445"/>
      <c r="O13" s="2434"/>
      <c r="P13" s="2434"/>
      <c r="Q13" s="2434"/>
      <c r="AD13" s="1740"/>
    </row>
    <row r="14" spans="1:30">
      <c r="A14" s="1077"/>
      <c r="B14" s="2402" t="s">
        <v>2188</v>
      </c>
      <c r="C14" s="2403"/>
      <c r="D14" s="2403"/>
      <c r="E14" s="2403"/>
      <c r="F14" s="2403">
        <v>50</v>
      </c>
      <c r="G14" s="2403"/>
      <c r="H14" s="2403">
        <v>50</v>
      </c>
      <c r="I14" s="2403">
        <v>50</v>
      </c>
      <c r="J14" s="3058"/>
      <c r="K14" s="2608"/>
      <c r="L14" s="2608"/>
      <c r="M14" s="2434"/>
      <c r="N14" s="2445"/>
      <c r="O14" s="2434"/>
      <c r="P14" s="2434"/>
      <c r="Q14" s="2434"/>
      <c r="AD14" s="1740"/>
    </row>
    <row r="15" spans="1:30">
      <c r="A15" s="319"/>
      <c r="B15" s="2404" t="s">
        <v>2189</v>
      </c>
      <c r="C15" s="2405" t="str">
        <f>IF(A13="出让",IF(C13="","",ROUNDDOWN(MIN((C13-$D$3)/365,C14),2)),C14)</f>
        <v/>
      </c>
      <c r="D15" s="2405" t="str">
        <f>IF(A13="出让",IF(D13="","",ROUNDDOWN(MIN((D13-$D$3)/365,D14),2)),D14)</f>
        <v/>
      </c>
      <c r="E15" s="2405" t="str">
        <f>IF(A13="出让",IF(E13="","",ROUNDDOWN(MIN((E13-$D$3)/365,E14),2)),E14)</f>
        <v/>
      </c>
      <c r="F15" s="2405">
        <f>IF(A13="出让",IF(F13="","",ROUNDDOWN(MIN((F13-$D$3)/365,F14),2)),F14)</f>
        <v>32.04</v>
      </c>
      <c r="G15" s="2405" t="str">
        <f>IF(A13="出让",IF(G13="","",ROUNDDOWN(MIN((G13-$D$3)/365,G14),2)),G14)</f>
        <v/>
      </c>
      <c r="H15" s="2405">
        <f>IF(A13="出让",IF(H13="","",ROUNDDOWN(MIN((H13-$D$3)/365,H14),2)),H14)</f>
        <v>32.04</v>
      </c>
      <c r="I15" s="2405">
        <f>IF(A13="出让",IF(I13="","",ROUNDDOWN(MIN((I13-$D$3)/365,I14),2)),I14)</f>
        <v>32.04</v>
      </c>
      <c r="J15" s="3059"/>
      <c r="K15" s="2446"/>
      <c r="L15" s="2446"/>
      <c r="M15" s="2504"/>
      <c r="N15" s="2446"/>
      <c r="O15" s="2504"/>
      <c r="P15" s="2434"/>
      <c r="Q15" s="2434"/>
      <c r="AD15" s="1740"/>
    </row>
    <row r="16" spans="1:30">
      <c r="A16" s="2395" t="s">
        <v>2190</v>
      </c>
      <c r="B16" s="3548"/>
      <c r="C16" s="3549"/>
      <c r="D16" s="3550"/>
      <c r="E16" s="2408" t="s">
        <v>2191</v>
      </c>
      <c r="F16" s="3551"/>
      <c r="G16" s="3552"/>
      <c r="H16" s="3552"/>
      <c r="I16" s="3553"/>
      <c r="J16" s="2434"/>
      <c r="K16" s="2612"/>
      <c r="L16" s="2446"/>
      <c r="M16" s="2446"/>
      <c r="N16" s="2504"/>
      <c r="O16" s="2446"/>
      <c r="P16" s="2504"/>
      <c r="Q16" s="2434"/>
      <c r="R16" s="2434"/>
    </row>
    <row r="17" spans="1:28">
      <c r="A17" s="312" t="s">
        <v>2192</v>
      </c>
      <c r="B17" s="301" t="s">
        <v>2193</v>
      </c>
      <c r="C17" s="8">
        <f>'数据-汇总表'!E3</f>
        <v>39707.960000000006</v>
      </c>
      <c r="D17" s="2317" t="s">
        <v>2194</v>
      </c>
      <c r="E17" s="3554" t="s">
        <v>2195</v>
      </c>
      <c r="F17" s="3555"/>
      <c r="G17" s="3555"/>
      <c r="H17" s="3555"/>
      <c r="I17" s="3556"/>
      <c r="J17" s="2434"/>
      <c r="K17" s="2613"/>
      <c r="L17" s="2446"/>
      <c r="M17" s="2446"/>
      <c r="N17" s="2504"/>
      <c r="O17" s="2446"/>
      <c r="P17" s="2504"/>
      <c r="Q17" s="2434"/>
      <c r="R17" s="2434"/>
      <c r="S17" s="2434"/>
      <c r="T17" s="2434"/>
      <c r="U17" s="2434"/>
      <c r="V17" s="2434"/>
    </row>
    <row r="18" spans="1:28" ht="24.75" thickBot="1">
      <c r="A18" s="2409" t="s">
        <v>2196</v>
      </c>
      <c r="B18" s="1086" t="s">
        <v>2197</v>
      </c>
      <c r="C18" s="2410">
        <f>'数据-汇总表'!D3</f>
        <v>6294.36</v>
      </c>
      <c r="D18" s="1088" t="s">
        <v>2198</v>
      </c>
      <c r="E18" s="3557" t="s">
        <v>2199</v>
      </c>
      <c r="F18" s="3558"/>
      <c r="G18" s="3558"/>
      <c r="H18" s="3558"/>
      <c r="I18" s="3559"/>
      <c r="J18" s="2434"/>
      <c r="K18" s="2613"/>
      <c r="L18" s="2446"/>
      <c r="M18" s="2446"/>
      <c r="N18" s="2504"/>
      <c r="O18" s="2446"/>
      <c r="P18" s="2504"/>
      <c r="Q18" s="2434"/>
      <c r="R18" s="2434"/>
      <c r="S18" s="2434"/>
      <c r="T18" s="2434"/>
      <c r="U18" s="2434"/>
      <c r="V18" s="2434"/>
    </row>
    <row r="19" spans="1:28" ht="37.5" thickTop="1" thickBot="1">
      <c r="A19" s="326" t="s">
        <v>1054</v>
      </c>
      <c r="B19" s="306" t="s">
        <v>2200</v>
      </c>
      <c r="C19" s="1558"/>
      <c r="D19" s="1559" t="s">
        <v>2201</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2202</v>
      </c>
      <c r="B20" s="3544" t="s">
        <v>2203</v>
      </c>
      <c r="C20" s="3545"/>
      <c r="D20" s="3546" t="s">
        <v>2204</v>
      </c>
      <c r="E20" s="3547"/>
      <c r="F20" s="2642" t="s">
        <v>1055</v>
      </c>
      <c r="G20" s="2659"/>
      <c r="H20" s="2659"/>
      <c r="I20" s="2659"/>
      <c r="J20" s="2434"/>
      <c r="K20" s="3543"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2206</v>
      </c>
      <c r="C21" s="2629" t="s">
        <v>1056</v>
      </c>
      <c r="D21" s="1563" t="s">
        <v>2207</v>
      </c>
      <c r="E21" s="2630" t="s">
        <v>1056</v>
      </c>
      <c r="F21" s="2643"/>
      <c r="G21" s="2659"/>
      <c r="H21" s="2659"/>
      <c r="I21" s="2659"/>
      <c r="J21" s="2434"/>
      <c r="K21" s="354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2208</v>
      </c>
      <c r="C22" s="2629" t="s">
        <v>1057</v>
      </c>
      <c r="D22" s="2658"/>
      <c r="E22" s="2658"/>
      <c r="F22" s="2658"/>
      <c r="G22" s="2659"/>
      <c r="H22" s="2659"/>
      <c r="I22" s="2659"/>
      <c r="J22" s="2434"/>
      <c r="K22" s="354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1058</v>
      </c>
      <c r="C24" s="2636"/>
      <c r="D24" s="2632" t="s">
        <v>1058</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1059</v>
      </c>
      <c r="C25" s="2636"/>
      <c r="D25" s="2632" t="s">
        <v>1059</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1060</v>
      </c>
      <c r="C26" s="2640"/>
      <c r="D26" s="2638" t="s">
        <v>1060</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31" t="s">
        <v>2211</v>
      </c>
      <c r="B27" s="319" t="s">
        <v>2212</v>
      </c>
      <c r="C27" s="2411" t="s">
        <v>3399</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31"/>
      <c r="B28" s="301" t="s">
        <v>2213</v>
      </c>
      <c r="C28" s="2413" t="s">
        <v>3400</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531"/>
      <c r="B29" s="301" t="s">
        <v>2214</v>
      </c>
      <c r="C29" s="2415" t="s">
        <v>3401</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532"/>
      <c r="B30" s="301" t="s">
        <v>2215</v>
      </c>
      <c r="C30" s="3533"/>
      <c r="D30" s="3534"/>
      <c r="E30" s="2659"/>
      <c r="F30" s="2659"/>
      <c r="G30" s="2659"/>
      <c r="H30" s="2659"/>
      <c r="I30" s="2659"/>
      <c r="J30" s="2434"/>
      <c r="K30" s="2611"/>
      <c r="L30" s="2608"/>
      <c r="M30" s="2608"/>
      <c r="N30" s="2434"/>
      <c r="O30" s="2445"/>
      <c r="P30" s="2434"/>
      <c r="Q30" s="2434"/>
      <c r="R30" s="2434"/>
      <c r="S30" s="2434"/>
      <c r="T30" s="2434"/>
      <c r="U30" s="2434"/>
      <c r="V30" s="2434"/>
    </row>
    <row r="31" spans="1:28">
      <c r="A31" s="3535" t="s">
        <v>2216</v>
      </c>
      <c r="B31" s="2417" t="s">
        <v>3398</v>
      </c>
      <c r="C31" s="2318" t="str">
        <f>IF(B31="现房","成新及维护状况正常否",IF(B31="在建","工程状态是否正常",IF(B31="土地","是否闲置","-")))</f>
        <v>成新及维护状况正常否</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36"/>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36"/>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1" t="s">
        <v>2217</v>
      </c>
      <c r="B34" s="2021" t="s">
        <v>3402</v>
      </c>
      <c r="C34" s="2021" t="s">
        <v>3403</v>
      </c>
      <c r="D34" s="2021" t="s">
        <v>3404</v>
      </c>
      <c r="E34" s="2021" t="s">
        <v>3405</v>
      </c>
      <c r="F34" s="2021" t="s">
        <v>3406</v>
      </c>
      <c r="G34" s="2021" t="s">
        <v>3407</v>
      </c>
      <c r="H34" s="2021"/>
      <c r="I34" s="2659"/>
      <c r="J34" s="2434"/>
      <c r="K34" s="2422">
        <f>COUNTIF(B34:H34,"——")</f>
        <v>0</v>
      </c>
      <c r="L34" s="322" t="s">
        <v>2218</v>
      </c>
      <c r="M34" s="322" t="s">
        <v>2219</v>
      </c>
      <c r="N34" s="322" t="s">
        <v>2220</v>
      </c>
      <c r="O34" s="322" t="s">
        <v>2221</v>
      </c>
      <c r="P34" s="322" t="s">
        <v>2222</v>
      </c>
      <c r="Q34" s="322" t="s">
        <v>2223</v>
      </c>
      <c r="R34" s="322" t="s">
        <v>2224</v>
      </c>
      <c r="S34" s="3530" t="s">
        <v>2225</v>
      </c>
      <c r="T34" s="2423" t="str">
        <f>NUMBERSTRING(7-K34,1)&amp;"通"</f>
        <v>七通</v>
      </c>
      <c r="U34" s="2434"/>
      <c r="V34" s="2434"/>
    </row>
    <row r="35" spans="1:30">
      <c r="A35" s="2424"/>
      <c r="B35" s="3537" t="s">
        <v>2226</v>
      </c>
      <c r="C35" s="3537"/>
      <c r="D35" s="3537"/>
      <c r="E35" s="3537"/>
      <c r="F35" s="663">
        <f>C10</f>
        <v>0</v>
      </c>
      <c r="G35" s="2659"/>
      <c r="H35" s="2659"/>
      <c r="I35" s="2659"/>
      <c r="J35" s="2434"/>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30"/>
      <c r="T35" s="328" t="str">
        <f>IF(T34="一通",L35,IF(T34="二通",M35,IF(T34="三通",N35,IF(T34="四通",O35,IF(T34="五通",P35,IF(T34="六通",Q35,R35))))))</f>
        <v>通路、通电、通讯、通上水、通下水、平整、</v>
      </c>
      <c r="U35" s="2434"/>
      <c r="V35" s="2434"/>
    </row>
    <row r="36" spans="1:30">
      <c r="A36" s="2425"/>
      <c r="B36" s="663" t="s">
        <v>2182</v>
      </c>
      <c r="C36" s="663" t="s">
        <v>2183</v>
      </c>
      <c r="D36" s="663" t="s">
        <v>2181</v>
      </c>
      <c r="E36" s="663" t="s">
        <v>2186</v>
      </c>
      <c r="F36" s="3060" t="s">
        <v>2580</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c r="D37" s="2426"/>
      <c r="E37" s="2426" t="s">
        <v>304</v>
      </c>
      <c r="F37" s="2426" t="s">
        <v>304</v>
      </c>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c r="D38" s="2427"/>
      <c r="E38" s="2427" t="s">
        <v>3431</v>
      </c>
      <c r="F38" s="2427" t="s">
        <v>3431</v>
      </c>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2230</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2"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2" width="9.5" style="1568" customWidth="1"/>
    <col min="13" max="14" width="9.5" style="1568" hidden="1" customWidth="1"/>
    <col min="15" max="15" width="9.875" style="1568" hidden="1" customWidth="1"/>
    <col min="16" max="16" width="9.75" style="1568" hidden="1" customWidth="1"/>
    <col min="17" max="17" width="9.375" style="1568" hidden="1" customWidth="1"/>
    <col min="18" max="18" width="9.25" style="1568" hidden="1" customWidth="1"/>
    <col min="19" max="19" width="10.875" style="1568" hidden="1" customWidth="1"/>
    <col min="20" max="21" width="10.75" style="1568" hidden="1" customWidth="1"/>
    <col min="22" max="22" width="10.875" style="1568" hidden="1" customWidth="1"/>
    <col min="23" max="27" width="10.75" style="1568" hidden="1" customWidth="1"/>
    <col min="28" max="28" width="10.875" style="1568" hidden="1" customWidth="1"/>
    <col min="29" max="29" width="11" style="1568" bestFit="1" customWidth="1"/>
    <col min="30" max="30" width="10" style="1568" hidden="1" customWidth="1"/>
    <col min="31" max="31" width="9.75" style="1568" hidden="1" customWidth="1"/>
    <col min="32" max="37" width="9.5" style="1568" hidden="1" customWidth="1"/>
    <col min="38"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6294.36</v>
      </c>
      <c r="B3" s="11">
        <f>IF(C3="否",G5-AT5,G5)</f>
        <v>39707.960000000006</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39707.960000000006</v>
      </c>
      <c r="H5" s="13">
        <f t="shared" ref="H5:AT5" si="0">SUM(H13:H656)</f>
        <v>39425.990000000005</v>
      </c>
      <c r="I5" s="13">
        <f t="shared" si="0"/>
        <v>32206.960000000006</v>
      </c>
      <c r="J5" s="13">
        <f t="shared" si="0"/>
        <v>0</v>
      </c>
      <c r="K5" s="13">
        <f t="shared" si="0"/>
        <v>7219.03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39707.960000000006</v>
      </c>
      <c r="BA5" s="15">
        <f t="shared" si="1"/>
        <v>39425.990000000005</v>
      </c>
      <c r="BB5" s="15">
        <f t="shared" si="1"/>
        <v>32206.960000000006</v>
      </c>
      <c r="BC5" s="15">
        <f t="shared" si="1"/>
        <v>7219.03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4" customFormat="1" ht="12.75">
      <c r="A6" s="12" t="s">
        <v>1071</v>
      </c>
      <c r="B6" s="1581"/>
      <c r="C6" s="1581"/>
      <c r="D6" s="1582"/>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7"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3382</v>
      </c>
      <c r="J9" s="807"/>
      <c r="K9" s="1598" t="s">
        <v>3395</v>
      </c>
      <c r="L9" s="807"/>
      <c r="M9" s="1598"/>
      <c r="N9" s="807"/>
      <c r="O9" s="1598"/>
      <c r="P9" s="807"/>
      <c r="Q9" s="1598"/>
      <c r="R9" s="807"/>
      <c r="S9" s="1598"/>
      <c r="T9" s="807"/>
      <c r="U9" s="1598"/>
      <c r="V9" s="807"/>
      <c r="W9" s="1598"/>
      <c r="X9" s="1599"/>
      <c r="Y9" s="1598"/>
      <c r="Z9" s="807"/>
      <c r="AA9" s="1598"/>
      <c r="AB9" s="807"/>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21</v>
      </c>
      <c r="J10" s="807"/>
      <c r="K10" s="1604" t="s">
        <v>3620</v>
      </c>
      <c r="L10" s="807"/>
      <c r="M10" s="1604"/>
      <c r="N10" s="807"/>
      <c r="O10" s="1604"/>
      <c r="P10" s="807"/>
      <c r="Q10" s="1604"/>
      <c r="R10" s="807"/>
      <c r="S10" s="1604"/>
      <c r="T10" s="807"/>
      <c r="U10" s="1604"/>
      <c r="V10" s="807"/>
      <c r="W10" s="1604"/>
      <c r="X10" s="807"/>
      <c r="Y10" s="1604"/>
      <c r="Z10" s="807"/>
      <c r="AA10" s="1604"/>
      <c r="AB10" s="807"/>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t="str">
        <f>K9</f>
        <v>地下</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办公</v>
      </c>
      <c r="BC11" s="1594" t="str">
        <f>K10</f>
        <v>车库—办公</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3381</v>
      </c>
      <c r="E13" s="13">
        <f>IF($C$3="是",ROUND($A$3*G13/$B$3,2),ROUND($A$3*(G13-AT13)/$B$3,2))</f>
        <v>6294.36</v>
      </c>
      <c r="F13" s="29"/>
      <c r="G13" s="30">
        <f>H13+AC13+AT13</f>
        <v>39707.960000000006</v>
      </c>
      <c r="H13" s="17">
        <f>SUMIF(I$12:AB$12,"总值",I13:AB13)</f>
        <v>39425.990000000005</v>
      </c>
      <c r="I13" s="1621">
        <f>面积!C29</f>
        <v>32206.960000000006</v>
      </c>
      <c r="J13" s="1621"/>
      <c r="K13" s="1621">
        <f>面积!C31</f>
        <v>7219.03</v>
      </c>
      <c r="L13" s="1621"/>
      <c r="M13" s="1621"/>
      <c r="N13" s="1621"/>
      <c r="O13" s="1621"/>
      <c r="P13" s="1621"/>
      <c r="Q13" s="1621"/>
      <c r="R13" s="1621"/>
      <c r="S13" s="1621"/>
      <c r="T13" s="1621"/>
      <c r="U13" s="1621"/>
      <c r="V13" s="1621"/>
      <c r="W13" s="1621"/>
      <c r="X13" s="1621"/>
      <c r="Y13" s="1621"/>
      <c r="Z13" s="1621"/>
      <c r="AA13" s="1621"/>
      <c r="AB13" s="1621"/>
      <c r="AC13" s="13">
        <f>SUMIF(AD$12:AS$12,"总值",AD13:AS13)</f>
        <v>281.96999999999997</v>
      </c>
      <c r="AD13" s="1622"/>
      <c r="AE13" s="1622"/>
      <c r="AF13" s="1622"/>
      <c r="AG13" s="1622"/>
      <c r="AH13" s="1622"/>
      <c r="AI13" s="1622"/>
      <c r="AJ13" s="1622"/>
      <c r="AK13" s="1622"/>
      <c r="AL13" s="1622">
        <f>面积!C30</f>
        <v>281.96999999999997</v>
      </c>
      <c r="AM13" s="1622"/>
      <c r="AN13" s="1622"/>
      <c r="AO13" s="1622"/>
      <c r="AP13" s="1622"/>
      <c r="AQ13" s="1622"/>
      <c r="AR13" s="1622"/>
      <c r="AS13" s="1622"/>
      <c r="AT13" s="1623"/>
      <c r="AU13" s="1624"/>
      <c r="AV13" s="8">
        <f t="shared" ref="AV13:AX17" si="6">A13</f>
        <v>0</v>
      </c>
      <c r="AW13" s="8">
        <f t="shared" si="6"/>
        <v>0</v>
      </c>
      <c r="AX13" s="8">
        <f t="shared" si="6"/>
        <v>0</v>
      </c>
      <c r="AY13" s="1344">
        <f>ROUND($AY$6*AZ13/$AZ$5,2)</f>
        <v>6294.36</v>
      </c>
      <c r="AZ13" s="13">
        <f>BA13+BL13</f>
        <v>39707.960000000006</v>
      </c>
      <c r="BA13" s="13">
        <f>SUM(BB13:BK13)</f>
        <v>39425.990000000005</v>
      </c>
      <c r="BB13" s="13">
        <f>IF($D13="是",I13-J13,0)</f>
        <v>32206.960000000006</v>
      </c>
      <c r="BC13" s="13">
        <f>IF($D13="是",K13-L13,0)</f>
        <v>7219.03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70" zoomScaleNormal="100" zoomScaleSheetLayoutView="70" workbookViewId="0">
      <selection activeCell="A14" sqref="A14:XFD14"/>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69" t="s">
        <v>1130</v>
      </c>
      <c r="B2" s="3569"/>
      <c r="C2" s="3569"/>
      <c r="D2" s="794" t="s">
        <v>1106</v>
      </c>
      <c r="E2" s="1634" t="s">
        <v>1107</v>
      </c>
      <c r="F2" s="2654"/>
      <c r="G2" s="2645"/>
      <c r="H2" s="2646"/>
      <c r="I2" s="2320" t="s">
        <v>1131</v>
      </c>
      <c r="J2" s="2654"/>
      <c r="K2" s="2654"/>
      <c r="L2" s="2654"/>
      <c r="M2" s="2654"/>
      <c r="N2" s="2656"/>
      <c r="O2" s="2654"/>
      <c r="P2" s="2654"/>
    </row>
    <row r="3" spans="1:16" ht="15.75" thickBot="1">
      <c r="A3" s="3570" t="s">
        <v>1104</v>
      </c>
      <c r="B3" s="3570"/>
      <c r="C3" s="3570"/>
      <c r="D3" s="43">
        <f>'数据-基础表'!AY6</f>
        <v>6294.36</v>
      </c>
      <c r="E3" s="43">
        <f>'数据-基础表'!AZ5</f>
        <v>39707.960000000006</v>
      </c>
      <c r="F3" s="2654"/>
      <c r="G3" s="1141"/>
      <c r="H3" s="1022" t="s">
        <v>1105</v>
      </c>
      <c r="I3" s="853">
        <f>ROUND('数据-基础表'!B3/'数据-基础表'!A3,2)</f>
        <v>6.31</v>
      </c>
      <c r="J3" s="2654"/>
      <c r="K3" s="2654"/>
      <c r="L3" s="2654"/>
      <c r="M3" s="2654"/>
      <c r="N3" s="2656"/>
      <c r="O3" s="2654"/>
      <c r="P3" s="2654"/>
    </row>
    <row r="4" spans="1:16" ht="15">
      <c r="A4" s="3571"/>
      <c r="B4" s="3572"/>
      <c r="C4" s="3573"/>
      <c r="D4" s="1636" t="s">
        <v>1106</v>
      </c>
      <c r="E4" s="1637" t="s">
        <v>1107</v>
      </c>
      <c r="F4" s="2654"/>
      <c r="G4" s="2647" t="s">
        <v>1132</v>
      </c>
      <c r="H4" s="1022" t="s">
        <v>1112</v>
      </c>
      <c r="I4" s="853">
        <f>ROUND(SUMIF('数据-基础表'!I9:AS9,"地上",'数据-基础表'!I5:AS5)/'数据-基础表'!A3,2)</f>
        <v>5.16</v>
      </c>
      <c r="J4" s="2654"/>
      <c r="K4" s="2654"/>
      <c r="L4" s="2654"/>
      <c r="M4" s="2654"/>
      <c r="N4" s="2656"/>
      <c r="O4" s="2654"/>
      <c r="P4" s="2654"/>
    </row>
    <row r="5" spans="1:16">
      <c r="A5" s="44" t="s">
        <v>1108</v>
      </c>
      <c r="B5" s="3574" t="s">
        <v>1109</v>
      </c>
      <c r="C5" s="3574"/>
      <c r="D5" s="45">
        <f>ROUND($D$3*E5/$E$3,2)</f>
        <v>0</v>
      </c>
      <c r="E5" s="46">
        <f>SUMIF('数据-基础表'!$11:$11,"住宅",'数据-基础表'!$5:$5)</f>
        <v>0</v>
      </c>
      <c r="F5" s="2654"/>
      <c r="G5" s="1141"/>
      <c r="H5" s="1022" t="s">
        <v>1105</v>
      </c>
      <c r="I5" s="853">
        <f>ROUND(E31/D31,2)</f>
        <v>6.31</v>
      </c>
      <c r="J5" s="2654"/>
      <c r="K5" s="2654"/>
      <c r="L5" s="2654"/>
      <c r="M5" s="2654"/>
      <c r="N5" s="2654"/>
      <c r="O5" s="2654"/>
      <c r="P5" s="2654"/>
    </row>
    <row r="6" spans="1:16" ht="15" thickBot="1">
      <c r="A6" s="1639"/>
      <c r="B6" s="3574" t="s">
        <v>1110</v>
      </c>
      <c r="C6" s="3574"/>
      <c r="D6" s="45">
        <f>ROUND($D$3*E6/$E$3,2)</f>
        <v>6294.36</v>
      </c>
      <c r="E6" s="46">
        <f>E3-E5</f>
        <v>39707.960000000006</v>
      </c>
      <c r="F6" s="2654"/>
      <c r="G6" s="2648" t="s">
        <v>1111</v>
      </c>
      <c r="H6" s="1142" t="s">
        <v>1112</v>
      </c>
      <c r="I6" s="2649">
        <f>ROUND(F31/D31,2)</f>
        <v>5.16</v>
      </c>
      <c r="J6" s="2654"/>
      <c r="K6" s="2654"/>
      <c r="L6" s="2654"/>
      <c r="M6" s="2654"/>
      <c r="N6" s="2654"/>
      <c r="O6" s="2654"/>
      <c r="P6" s="2654"/>
    </row>
    <row r="7" spans="1:16" ht="15.75" thickBot="1">
      <c r="A7" s="3566"/>
      <c r="B7" s="3567"/>
      <c r="C7" s="3568"/>
      <c r="D7" s="1636" t="s">
        <v>1106</v>
      </c>
      <c r="E7" s="1640"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5105.33</v>
      </c>
      <c r="E8" s="48">
        <f>SUMIF('数据-基础表'!BB10:BK10,"地上",'数据-基础表'!BB5:BK5)</f>
        <v>32206.960000000006</v>
      </c>
      <c r="F8" s="2654"/>
      <c r="G8" s="2655"/>
      <c r="H8" s="2655"/>
      <c r="I8" s="2654"/>
      <c r="J8" s="2654"/>
      <c r="K8" s="2654"/>
      <c r="L8" s="2654"/>
      <c r="M8" s="2654"/>
      <c r="N8" s="2654"/>
      <c r="O8" s="2654"/>
      <c r="P8" s="2654"/>
    </row>
    <row r="9" spans="1:16">
      <c r="A9" s="1641"/>
      <c r="B9" s="1642"/>
      <c r="C9" s="45" t="s">
        <v>1118</v>
      </c>
      <c r="D9" s="45">
        <f t="shared" si="0"/>
        <v>0</v>
      </c>
      <c r="E9" s="49">
        <v>0</v>
      </c>
      <c r="F9" s="2654"/>
      <c r="G9" s="2655"/>
      <c r="H9" s="2655"/>
      <c r="I9" s="2654"/>
      <c r="J9" s="2654"/>
      <c r="K9" s="2654"/>
      <c r="L9" s="2654"/>
      <c r="M9" s="2654"/>
      <c r="N9" s="2654"/>
      <c r="O9" s="2654"/>
      <c r="P9" s="2654"/>
    </row>
    <row r="10" spans="1:16">
      <c r="A10" s="1641"/>
      <c r="B10" s="1642"/>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1128</v>
      </c>
      <c r="D15" s="45">
        <f t="shared" si="0"/>
        <v>1144.33</v>
      </c>
      <c r="E15" s="48">
        <f>SUMPRODUCT(('数据-基础表'!BB10:BK10="地下")*('数据-基础表'!BB11:BK11="车库—办公")*('数据-基础表'!BB5:BK5))</f>
        <v>7219.03</v>
      </c>
      <c r="F15" s="2654"/>
      <c r="G15" s="2655"/>
      <c r="H15" s="2655"/>
      <c r="I15" s="2654"/>
      <c r="J15" s="2654"/>
      <c r="K15" s="2654"/>
      <c r="L15" s="2654"/>
      <c r="M15" s="2654"/>
      <c r="N15" s="2654"/>
      <c r="O15" s="2654"/>
      <c r="P15" s="2654"/>
    </row>
    <row r="16" spans="1:16" ht="15.75" thickBot="1">
      <c r="A16" s="1639"/>
      <c r="B16" s="1642"/>
      <c r="C16" s="47" t="s">
        <v>1122</v>
      </c>
      <c r="D16" s="47">
        <f>SUM(D8:D15)</f>
        <v>6249.66</v>
      </c>
      <c r="E16" s="50">
        <f>SUM(E8:E15)</f>
        <v>39425.990000000005</v>
      </c>
      <c r="F16" s="2654"/>
      <c r="G16" s="2655"/>
      <c r="H16" s="1643" t="s">
        <v>1134</v>
      </c>
      <c r="I16" s="1644"/>
      <c r="J16" s="1135"/>
      <c r="K16" s="3563" t="s">
        <v>1134</v>
      </c>
      <c r="L16" s="3564"/>
      <c r="M16" s="3564"/>
      <c r="N16" s="3564"/>
      <c r="O16" s="3564"/>
      <c r="P16" s="3565"/>
    </row>
    <row r="17" spans="1:19" ht="15">
      <c r="A17" s="1645" t="s">
        <v>1135</v>
      </c>
      <c r="B17" s="1646" t="s">
        <v>1136</v>
      </c>
      <c r="C17" s="1647" t="s">
        <v>1137</v>
      </c>
      <c r="D17" s="1648" t="s">
        <v>1125</v>
      </c>
      <c r="E17" s="1649" t="s">
        <v>1126</v>
      </c>
      <c r="F17" s="1650"/>
      <c r="G17" s="1651"/>
      <c r="H17" s="1652" t="s">
        <v>1138</v>
      </c>
      <c r="I17" s="1653" t="s">
        <v>1123</v>
      </c>
      <c r="J17" s="1135"/>
      <c r="K17" s="3560" t="s">
        <v>1139</v>
      </c>
      <c r="L17" s="3561"/>
      <c r="M17" s="3562"/>
      <c r="N17" s="3560" t="s">
        <v>1140</v>
      </c>
      <c r="O17" s="3561"/>
      <c r="P17" s="3562"/>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3" t="s">
        <v>1149</v>
      </c>
      <c r="N18" s="1037" t="s">
        <v>1147</v>
      </c>
      <c r="O18" s="1661" t="s">
        <v>1148</v>
      </c>
      <c r="P18" s="853" t="s">
        <v>1149</v>
      </c>
      <c r="R18" s="1022" t="s">
        <v>1150</v>
      </c>
      <c r="S18" s="1022" t="s">
        <v>1151</v>
      </c>
    </row>
    <row r="19" spans="1:19">
      <c r="A19" s="1662"/>
      <c r="B19" s="47" t="s">
        <v>1124</v>
      </c>
      <c r="C19" s="3412" t="s">
        <v>3396</v>
      </c>
      <c r="D19" s="45">
        <f>ROUND($D$3*E19/$E$3,2)</f>
        <v>5105.33</v>
      </c>
      <c r="E19" s="53">
        <f t="shared" ref="E19:E26" si="1">SUM(F19:G19)</f>
        <v>32206.960000000006</v>
      </c>
      <c r="F19" s="2790">
        <f>'数据-基础表'!I13</f>
        <v>32206.960000000006</v>
      </c>
      <c r="G19" s="2791"/>
      <c r="H19" s="669">
        <f>ROUND($D$3*I19/$E$3,2)</f>
        <v>36.51</v>
      </c>
      <c r="I19" s="48">
        <f t="shared" ref="I19:I26" si="2">IF($I$17="自定义",P19,M19)</f>
        <v>230.34</v>
      </c>
      <c r="J19" s="1135"/>
      <c r="K19" s="1134">
        <f t="shared" ref="K19:K26" si="3">ROUND(E$28*E19/E$27,2)</f>
        <v>230.34</v>
      </c>
      <c r="L19" s="1022">
        <f t="shared" ref="L19:L26" si="4">ROUND(IF(COUNTIF(C19,"*住宅*")&gt;0,E$29*E19/E$32,0),2)</f>
        <v>0</v>
      </c>
      <c r="M19" s="1146">
        <f>K19+L19</f>
        <v>230.34</v>
      </c>
      <c r="N19" s="1663"/>
      <c r="O19" s="1664"/>
      <c r="P19" s="1146">
        <f>N19+O19</f>
        <v>0</v>
      </c>
      <c r="R19" s="1022">
        <f t="shared" ref="R19:S26" si="5">D19+H19</f>
        <v>5141.84</v>
      </c>
      <c r="S19" s="1023">
        <f t="shared" si="5"/>
        <v>32437.300000000007</v>
      </c>
    </row>
    <row r="20" spans="1:19">
      <c r="A20" s="1665"/>
      <c r="B20" s="47" t="s">
        <v>1152</v>
      </c>
      <c r="C20" s="3412" t="s">
        <v>3397</v>
      </c>
      <c r="D20" s="45">
        <f t="shared" ref="D20:D26" si="6">ROUND($D$3*E20/$E$3,2)</f>
        <v>1144.33</v>
      </c>
      <c r="E20" s="53">
        <f t="shared" si="1"/>
        <v>7219.03</v>
      </c>
      <c r="F20" s="2790"/>
      <c r="G20" s="2791">
        <f>'数据-基础表'!K13</f>
        <v>7219.03</v>
      </c>
      <c r="H20" s="669">
        <f t="shared" ref="H20:H26" si="7">ROUND($D$3*I20/$E$3,2)</f>
        <v>8.18</v>
      </c>
      <c r="I20" s="48">
        <f t="shared" si="2"/>
        <v>51.63</v>
      </c>
      <c r="J20" s="1135"/>
      <c r="K20" s="1134">
        <f t="shared" si="3"/>
        <v>51.63</v>
      </c>
      <c r="L20" s="1022">
        <f t="shared" si="4"/>
        <v>0</v>
      </c>
      <c r="M20" s="1146">
        <f t="shared" ref="M20:M26" si="8">K20+L20</f>
        <v>51.63</v>
      </c>
      <c r="N20" s="1663"/>
      <c r="O20" s="1664"/>
      <c r="P20" s="1146">
        <f t="shared" ref="P20:P26" si="9">N20+O20</f>
        <v>0</v>
      </c>
      <c r="R20" s="1022">
        <f t="shared" si="5"/>
        <v>1152.51</v>
      </c>
      <c r="S20" s="1023">
        <f t="shared" si="5"/>
        <v>7270.66</v>
      </c>
    </row>
    <row r="21" spans="1:19">
      <c r="A21" s="1665"/>
      <c r="B21" s="47" t="s">
        <v>1152</v>
      </c>
      <c r="C21" s="3412"/>
      <c r="D21" s="45">
        <f t="shared" si="6"/>
        <v>0</v>
      </c>
      <c r="E21" s="53">
        <f t="shared" si="1"/>
        <v>0</v>
      </c>
      <c r="F21" s="2790"/>
      <c r="G21" s="2791"/>
      <c r="H21" s="669">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13"/>
      <c r="D22" s="45">
        <f t="shared" si="6"/>
        <v>0</v>
      </c>
      <c r="E22" s="53">
        <f t="shared" si="1"/>
        <v>0</v>
      </c>
      <c r="F22" s="2792"/>
      <c r="G22" s="2793"/>
      <c r="H22" s="669">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13"/>
      <c r="D23" s="45">
        <f>ROUND($D$3*E23/$E$3,2)</f>
        <v>0</v>
      </c>
      <c r="E23" s="53">
        <f>SUM(F23:G23)</f>
        <v>0</v>
      </c>
      <c r="F23" s="2792"/>
      <c r="G23" s="2793"/>
      <c r="H23" s="669">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13"/>
      <c r="D24" s="45">
        <f>ROUND($D$3*E24/$E$3,2)</f>
        <v>0</v>
      </c>
      <c r="E24" s="53">
        <f>SUM(F24:G24)</f>
        <v>0</v>
      </c>
      <c r="F24" s="2792"/>
      <c r="G24" s="2793"/>
      <c r="H24" s="669">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13"/>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29.25" thickBot="1">
      <c r="A27" s="1665"/>
      <c r="B27" s="45"/>
      <c r="C27" s="1668" t="s">
        <v>1153</v>
      </c>
      <c r="D27" s="1136">
        <f>SUM(D19:D26)</f>
        <v>6249.66</v>
      </c>
      <c r="E27" s="1137">
        <f>IF(SUM(E19:E26)='数据-基础表'!BA5,SUM(E19:E26),IF(F27="地上面积有误","面积有误","地下面积有误"))</f>
        <v>39425.990000000005</v>
      </c>
      <c r="F27" s="1136">
        <f>IF(SUM(F19:F26)=E8,SUM(F19:F26),"地上面积有误")</f>
        <v>32206.960000000006</v>
      </c>
      <c r="G27" s="1138">
        <f>SUM(G19:G26)</f>
        <v>7219.03</v>
      </c>
      <c r="H27" s="1139">
        <f>SUM(H19:H26)</f>
        <v>44.69</v>
      </c>
      <c r="I27" s="1140">
        <f>SUM(I19:I26)</f>
        <v>281.97000000000003</v>
      </c>
      <c r="J27" s="1135"/>
      <c r="K27" s="1143">
        <f>SUM(K19:K26)</f>
        <v>281.97000000000003</v>
      </c>
      <c r="L27" s="1144">
        <f>SUM(L19:L26)</f>
        <v>0</v>
      </c>
      <c r="M27" s="1147">
        <f>SUM(M19:M26)</f>
        <v>281.97000000000003</v>
      </c>
      <c r="N27" s="1143">
        <f t="shared" ref="N27:O27" si="10">SUM(N19:N26)</f>
        <v>0</v>
      </c>
      <c r="O27" s="1144">
        <f t="shared" si="10"/>
        <v>0</v>
      </c>
      <c r="P27" s="1145">
        <f>SUM(P19:P26)</f>
        <v>0</v>
      </c>
      <c r="R27" s="1024" t="str">
        <f>IF(SUM(R19:R26)=$D$3,SUM(R19:R26),SUM(R19:R26)&amp;"误差"&amp;ROUND(SUM(R19:R26)-$D$3,2))</f>
        <v>6294.35误差-0.01</v>
      </c>
      <c r="S27" s="1022">
        <f>IF(SUM(S19:S26)=$E$3,SUM(S19:S26),SUM(S19:S26)&amp;"误差"&amp;ROUND(SUM(S19:S26)-E3,2))</f>
        <v>39707.960000000006</v>
      </c>
    </row>
    <row r="28" spans="1:19">
      <c r="A28" s="1665"/>
      <c r="B28" s="47" t="s">
        <v>1154</v>
      </c>
      <c r="C28" s="1034" t="s">
        <v>1155</v>
      </c>
      <c r="D28" s="45">
        <f>ROUND($D$3*E28/$E$3,2)</f>
        <v>44.7</v>
      </c>
      <c r="E28" s="53">
        <f>SUM(F28:G28)</f>
        <v>281.96999999999997</v>
      </c>
      <c r="F28" s="56">
        <f>'数据-基础表'!BQ5+'数据-基础表'!BS5</f>
        <v>281.96999999999997</v>
      </c>
      <c r="G28" s="57">
        <f>'数据-基础表'!BR5+'数据-基础表'!BT5</f>
        <v>0</v>
      </c>
      <c r="H28" s="2654"/>
      <c r="I28" s="2654"/>
      <c r="J28" s="2654"/>
      <c r="K28" s="2654"/>
      <c r="L28" s="2654"/>
      <c r="M28" s="2654"/>
      <c r="N28" s="2654"/>
      <c r="O28" s="2654"/>
      <c r="P28" s="2654"/>
    </row>
    <row r="29" spans="1:19">
      <c r="A29" s="1665"/>
      <c r="B29" s="47" t="s">
        <v>1154</v>
      </c>
      <c r="C29" s="1669"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1153</v>
      </c>
      <c r="D30" s="1136">
        <f>SUM(D28:D29)</f>
        <v>44.7</v>
      </c>
      <c r="E30" s="1136">
        <f>SUM(E28:E29)</f>
        <v>281.96999999999997</v>
      </c>
      <c r="F30" s="1136">
        <f>SUM(F28:F29)</f>
        <v>281.96999999999997</v>
      </c>
      <c r="G30" s="1138">
        <f>SUM(G28:G29)</f>
        <v>0</v>
      </c>
      <c r="H30" s="2654"/>
      <c r="I30" s="2654"/>
      <c r="J30" s="2654"/>
      <c r="K30" s="2654"/>
      <c r="L30" s="2654"/>
      <c r="M30" s="2654"/>
      <c r="N30" s="2654"/>
      <c r="O30" s="2654"/>
      <c r="P30" s="2654"/>
    </row>
    <row r="31" spans="1:19" ht="15.75" thickBot="1">
      <c r="A31" s="1671"/>
      <c r="B31" s="1672"/>
      <c r="C31" s="833" t="s">
        <v>1157</v>
      </c>
      <c r="D31" s="674">
        <f>D27+D30</f>
        <v>6294.36</v>
      </c>
      <c r="E31" s="674">
        <f>E27+E30</f>
        <v>39707.960000000006</v>
      </c>
      <c r="F31" s="675">
        <f>F27+F30</f>
        <v>32488.930000000008</v>
      </c>
      <c r="G31" s="676">
        <f>G27+G30</f>
        <v>7219.03</v>
      </c>
      <c r="H31" s="2654"/>
      <c r="I31" s="2654"/>
      <c r="J31" s="2654"/>
      <c r="K31" s="2654"/>
      <c r="L31" s="2654"/>
      <c r="M31" s="2654"/>
      <c r="N31" s="2654"/>
      <c r="O31" s="2654"/>
      <c r="P31" s="2654"/>
    </row>
    <row r="32" spans="1:19">
      <c r="A32" s="1638"/>
      <c r="B32" s="1638" t="s">
        <v>1158</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0" sqref="M2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7"/>
      <c r="C1" s="1186"/>
      <c r="D1" s="1675"/>
      <c r="E1" s="1186"/>
      <c r="F1" s="1186"/>
      <c r="G1" s="1186"/>
      <c r="H1" s="1186"/>
      <c r="I1" s="1186"/>
      <c r="J1" s="1186"/>
      <c r="K1" s="158"/>
      <c r="L1" s="158"/>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1160</v>
      </c>
      <c r="B2" s="1041">
        <f>项目基本情况!D3</f>
        <v>45322</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53"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3423</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工业</v>
      </c>
      <c r="B6" s="1708" t="str">
        <f>IF(A6=0,"","经营性")</f>
        <v>经营性</v>
      </c>
      <c r="C6" s="3483" t="s">
        <v>3603</v>
      </c>
      <c r="D6" s="856">
        <f>SUMIF(项目基本情况!C$12:I$12,C6,项目基本情况!C$14:I$14)</f>
        <v>50</v>
      </c>
      <c r="E6" s="855">
        <f>IF(B6="","",SUMIF(项目基本情况!C$12:I$12,C6,项目基本情况!C$13:I$13))</f>
        <v>57017</v>
      </c>
      <c r="F6" s="64">
        <f>SUMIF(项目基本情况!C$12:I$12,C6,项目基本情况!C$15:I$15)</f>
        <v>32.04</v>
      </c>
      <c r="G6" s="65">
        <f>IF(ISERROR(ROUND(POWER(1+H6,D6-F6)*(POWER(1+H6,F6)-1)/(POWER(1+H6,D6)-1),3)),0,ROUND(POWER(1+H6,D6-F6)*(POWER(1+H6,F6)-1)/(POWER(1+H6,D6)-1),3))</f>
        <v>0.86599999999999999</v>
      </c>
      <c r="H6" s="730">
        <v>0.05</v>
      </c>
      <c r="I6" s="730">
        <v>5.5E-2</v>
      </c>
      <c r="J6" s="66">
        <v>7.0000000000000007E-2</v>
      </c>
      <c r="K6" s="1026">
        <f>SUMIF('数据-汇总表'!C$19:C$33,A6,'数据-汇总表'!E$19:E$33)</f>
        <v>32206.960000000006</v>
      </c>
      <c r="L6" s="3464">
        <v>5400</v>
      </c>
      <c r="M6" s="67">
        <f t="shared" ref="M6:M14" si="0">ROUND(K6*L6/10000,0)</f>
        <v>17392</v>
      </c>
      <c r="N6" s="3471">
        <f>ROUND(N18*0.5+N19*0.5,2)</f>
        <v>0.88</v>
      </c>
      <c r="O6" s="67" t="str">
        <f>IF($N$5="成新度","——",ROUND(M6*N6,0))</f>
        <v>——</v>
      </c>
      <c r="P6" s="68" t="str">
        <f>IF($N$5="成新度","——",M6-O6)</f>
        <v>——</v>
      </c>
      <c r="Q6" s="732">
        <v>0.15</v>
      </c>
      <c r="R6" s="69">
        <f ca="1">SUMIF('数据-汇总表'!C$19:C$33,A6,'数据-汇总表'!R$19:R$27)</f>
        <v>5141.84</v>
      </c>
      <c r="S6" s="51">
        <f>IF('数据-汇总表'!$I$17="按面积比例",SUMIF('数据-汇总表'!C$19:C$33,A6,'数据-汇总表'!K$19:K$33),SUMIF('数据-汇总表'!C$19:C$33,A6,'数据-汇总表'!N$19:N$33))</f>
        <v>230.34</v>
      </c>
      <c r="T6" s="1168">
        <f>ROUND($L$14*S6/10000,0)</f>
        <v>111</v>
      </c>
      <c r="U6" s="3466">
        <v>3.5</v>
      </c>
      <c r="V6" s="70">
        <v>2.5000000000000001E-2</v>
      </c>
      <c r="W6" s="3469">
        <v>0.1</v>
      </c>
      <c r="X6" s="1036"/>
      <c r="Y6" s="71">
        <f>N6</f>
        <v>0.88</v>
      </c>
      <c r="Z6" s="72"/>
      <c r="AA6" s="66"/>
      <c r="AB6" s="66"/>
      <c r="AC6" s="1036"/>
      <c r="AD6" s="73"/>
      <c r="AE6" s="1037">
        <f ca="1">IF(AN6="",0,SUMIF(INDIRECT("'"&amp;AN6&amp;"'"&amp;"!E:E"),$AE$5,INDIRECT("'"&amp;AN6&amp;"'"&amp;"!F:F")))</f>
        <v>32.04</v>
      </c>
      <c r="AF6" s="1343"/>
      <c r="AG6" s="137">
        <f>IF(AF6="",0,AE6-AF6)</f>
        <v>0</v>
      </c>
      <c r="AH6" s="74"/>
      <c r="AI6" s="76">
        <v>365</v>
      </c>
      <c r="AJ6" s="77"/>
      <c r="AK6" s="78">
        <v>5.0000000000000001E-3</v>
      </c>
      <c r="AL6" s="79">
        <v>1.5E-3</v>
      </c>
      <c r="AM6" s="80">
        <v>5.0000000000000001E-3</v>
      </c>
      <c r="AN6" s="1710" t="s">
        <v>3425</v>
      </c>
      <c r="AO6" s="52">
        <f ca="1">SUMIF(INDIRECT("'"&amp;AN6&amp;"'"&amp;"!A:A"),"总价",INDIRECT("'"&amp;AN6&amp;"'"&amp;"!B:B"))</f>
        <v>59480</v>
      </c>
      <c r="AP6" s="1711">
        <f>IF(C6="住宅",K6*L6,0)</f>
        <v>0</v>
      </c>
      <c r="AQ6" s="52">
        <f>ROUND($L$14*$N$14*S6/10000,0)</f>
        <v>97</v>
      </c>
      <c r="AR6" s="52">
        <f>ROUND($L$14*(1-$N$14)*S6/10000,0)</f>
        <v>13</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车库</v>
      </c>
      <c r="B7" s="1708" t="str">
        <f t="shared" ref="B7:B13" si="1">IF(A7=0,"","经营性")</f>
        <v>经营性</v>
      </c>
      <c r="C7" s="1709" t="s">
        <v>3334</v>
      </c>
      <c r="D7" s="856">
        <f>SUMIF(项目基本情况!C$12:I$12,C7,项目基本情况!C$14:I$14)</f>
        <v>50</v>
      </c>
      <c r="E7" s="855">
        <f>IF(B7="","",SUMIF(项目基本情况!C$12:I$12,C7,项目基本情况!C$13:I$13))</f>
        <v>57017</v>
      </c>
      <c r="F7" s="64">
        <f>SUMIF(项目基本情况!C$12:I$12,C7,项目基本情况!C$15:I$15)</f>
        <v>32.04</v>
      </c>
      <c r="G7" s="65">
        <f t="shared" ref="G7:G11" si="2">IF(ISERROR(ROUND(POWER(1+H7,D7-F7)*(POWER(1+H7,F7)-1)/(POWER(1+H7,D7)-1),3)),0,ROUND(POWER(1+H7,D7-F7)*(POWER(1+H7,F7)-1)/(POWER(1+H7,D7)-1),3))</f>
        <v>0.86599999999999999</v>
      </c>
      <c r="H7" s="730">
        <v>0.05</v>
      </c>
      <c r="I7" s="730">
        <v>5.5E-2</v>
      </c>
      <c r="J7" s="66">
        <v>7.0000000000000007E-2</v>
      </c>
      <c r="K7" s="1026">
        <f>SUMIF('数据-汇总表'!C$19:C$33,A7,'数据-汇总表'!E$19:E$33)</f>
        <v>7219.03</v>
      </c>
      <c r="L7" s="3464">
        <v>4800</v>
      </c>
      <c r="M7" s="67">
        <f t="shared" si="0"/>
        <v>3465</v>
      </c>
      <c r="N7" s="3471">
        <f>N6</f>
        <v>0.88</v>
      </c>
      <c r="O7" s="67" t="str">
        <f t="shared" ref="O7:O14" si="3">IF($N$5="成新度","——",ROUND(M7*N7,0))</f>
        <v>——</v>
      </c>
      <c r="P7" s="68" t="str">
        <f t="shared" ref="P7:P14" si="4">IF($N$5="成新度","——",M7-O7)</f>
        <v>——</v>
      </c>
      <c r="Q7" s="3475">
        <v>0.05</v>
      </c>
      <c r="R7" s="69">
        <f ca="1">SUMIF('数据-汇总表'!C$19:C$33,A7,'数据-汇总表'!R$19:R$27)</f>
        <v>1152.51</v>
      </c>
      <c r="S7" s="51">
        <f>IF('数据-汇总表'!$I$17="按面积比例",SUMIF('数据-汇总表'!C$19:C$33,A7,'数据-汇总表'!K$19:K$33),SUMIF('数据-汇总表'!C$19:C$33,A7,'数据-汇总表'!N$19:N$33))</f>
        <v>51.63</v>
      </c>
      <c r="T7" s="1168">
        <f t="shared" ref="T7:T13" si="5">ROUND($L$14*S7/10000,0)</f>
        <v>25</v>
      </c>
      <c r="U7" s="3423">
        <v>500</v>
      </c>
      <c r="V7" s="70">
        <v>0.02</v>
      </c>
      <c r="W7" s="70">
        <v>0.1</v>
      </c>
      <c r="X7" s="1036"/>
      <c r="Y7" s="71">
        <f>Y6</f>
        <v>0.88</v>
      </c>
      <c r="Z7" s="72"/>
      <c r="AA7" s="66"/>
      <c r="AB7" s="66"/>
      <c r="AC7" s="1036"/>
      <c r="AD7" s="73"/>
      <c r="AE7" s="1037">
        <f t="shared" ref="AE7:AE13" ca="1" si="6">IF(AN7="",0,SUMIF(INDIRECT("'"&amp;AN7&amp;"'"&amp;"!E:E"),$AE$5,INDIRECT("'"&amp;AN7&amp;"'"&amp;"!F:F")))</f>
        <v>32.04</v>
      </c>
      <c r="AF7" s="1343"/>
      <c r="AG7" s="137">
        <f t="shared" ref="AG7:AG13" si="7">IF(AF7="",0,AE7-AF7)</f>
        <v>0</v>
      </c>
      <c r="AH7" s="74">
        <v>126</v>
      </c>
      <c r="AI7" s="76">
        <v>12</v>
      </c>
      <c r="AJ7" s="77"/>
      <c r="AK7" s="78">
        <v>5.0000000000000001E-3</v>
      </c>
      <c r="AL7" s="79">
        <f>AL6</f>
        <v>1.5E-3</v>
      </c>
      <c r="AM7" s="80">
        <v>5.0000000000000001E-3</v>
      </c>
      <c r="AN7" s="1710" t="s">
        <v>3427</v>
      </c>
      <c r="AO7" s="52">
        <f t="shared" ref="AO7:AO13" ca="1" si="8">SUMIF(INDIRECT("'"&amp;AN7&amp;"'"&amp;"!A:A"),"总价",INDIRECT("'"&amp;AN7&amp;"'"&amp;"!B:B"))</f>
        <v>691</v>
      </c>
      <c r="AP7" s="1711">
        <f t="shared" ref="AP7:AP13" si="9">IF(C7="住宅",K7*L7,0)</f>
        <v>0</v>
      </c>
      <c r="AQ7" s="52">
        <f t="shared" ref="AQ7:AQ13" si="10">ROUND($L$14*$N$14*S7/10000,0)</f>
        <v>22</v>
      </c>
      <c r="AR7" s="52">
        <f t="shared" ref="AR7:AR13" si="11">ROUND($L$14*(1-$N$14)*S7/10000,0)</f>
        <v>3</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4"/>
      <c r="V8" s="733"/>
      <c r="W8" s="733"/>
      <c r="X8" s="1036"/>
      <c r="Y8" s="71"/>
      <c r="Z8" s="72"/>
      <c r="AA8" s="66"/>
      <c r="AB8" s="66"/>
      <c r="AC8" s="1036"/>
      <c r="AD8" s="73"/>
      <c r="AE8" s="1037">
        <f t="shared" ca="1" si="6"/>
        <v>0</v>
      </c>
      <c r="AF8" s="1343"/>
      <c r="AG8" s="137">
        <f t="shared" si="7"/>
        <v>0</v>
      </c>
      <c r="AH8" s="734"/>
      <c r="AI8" s="76"/>
      <c r="AJ8" s="77"/>
      <c r="AK8" s="735"/>
      <c r="AL8" s="736"/>
      <c r="AM8" s="737"/>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3"/>
      <c r="V9" s="70"/>
      <c r="W9" s="70"/>
      <c r="X9" s="1036"/>
      <c r="Y9" s="71"/>
      <c r="Z9" s="72"/>
      <c r="AA9" s="66"/>
      <c r="AB9" s="66"/>
      <c r="AC9" s="1036"/>
      <c r="AD9" s="73"/>
      <c r="AE9" s="1037">
        <f t="shared" ca="1" si="6"/>
        <v>0</v>
      </c>
      <c r="AF9" s="1343"/>
      <c r="AG9" s="137">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6"/>
      <c r="Y10" s="71"/>
      <c r="Z10" s="72"/>
      <c r="AA10" s="66"/>
      <c r="AB10" s="66"/>
      <c r="AC10" s="1036"/>
      <c r="AD10" s="73"/>
      <c r="AE10" s="1037">
        <f t="shared" ca="1" si="6"/>
        <v>0</v>
      </c>
      <c r="AF10" s="1343"/>
      <c r="AG10" s="137">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6"/>
      <c r="Y11" s="71"/>
      <c r="Z11" s="84"/>
      <c r="AA11" s="66"/>
      <c r="AB11" s="66"/>
      <c r="AC11" s="1036"/>
      <c r="AD11" s="73"/>
      <c r="AE11" s="1037">
        <f t="shared" ca="1" si="6"/>
        <v>0</v>
      </c>
      <c r="AF11" s="1343"/>
      <c r="AG11" s="137">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6"/>
      <c r="Y12" s="71"/>
      <c r="Z12" s="84"/>
      <c r="AA12" s="66"/>
      <c r="AB12" s="66"/>
      <c r="AC12" s="1036"/>
      <c r="AD12" s="73"/>
      <c r="AE12" s="1037">
        <f t="shared" ca="1" si="6"/>
        <v>0</v>
      </c>
      <c r="AF12" s="1343"/>
      <c r="AG12" s="137">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5"/>
      <c r="V13" s="70"/>
      <c r="W13" s="70"/>
      <c r="X13" s="1036"/>
      <c r="Y13" s="71"/>
      <c r="Z13" s="72"/>
      <c r="AA13" s="66"/>
      <c r="AB13" s="66"/>
      <c r="AC13" s="1036"/>
      <c r="AD13" s="73"/>
      <c r="AE13" s="1037">
        <f t="shared" ca="1" si="6"/>
        <v>0</v>
      </c>
      <c r="AF13" s="1343"/>
      <c r="AG13" s="137">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6"/>
      <c r="E14" s="855"/>
      <c r="F14" s="64"/>
      <c r="G14" s="65"/>
      <c r="H14" s="1025"/>
      <c r="I14" s="1025"/>
      <c r="J14" s="1025"/>
      <c r="K14" s="1026">
        <f>SUMIF('数据-汇总表'!C$19:C$33,A14,'数据-汇总表'!E$19:E$33)</f>
        <v>281.96999999999997</v>
      </c>
      <c r="L14" s="3465">
        <f>L7</f>
        <v>4800</v>
      </c>
      <c r="M14" s="67">
        <f t="shared" si="0"/>
        <v>135</v>
      </c>
      <c r="N14" s="3472">
        <f>N6</f>
        <v>0.88</v>
      </c>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2"/>
      <c r="AJ14" s="702"/>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6"/>
      <c r="E15" s="855"/>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2"/>
      <c r="AJ15" s="702"/>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1"/>
      <c r="D16" s="1715"/>
      <c r="E16" s="88"/>
      <c r="F16" s="88"/>
      <c r="G16" s="89">
        <f>ROUND(SUMPRODUCT(G6:G13,K6:K13)/SUMPRODUCT((G6:G13&gt;0)*(K6:K13)),3)</f>
        <v>0.86599999999999999</v>
      </c>
      <c r="H16" s="90">
        <f>ROUND(SUMPRODUCT(H6:H13,K6:K13)/SUMPRODUCT((H6:H13&gt;0)*(K6:K13)),3)</f>
        <v>0.05</v>
      </c>
      <c r="I16" s="91"/>
      <c r="J16" s="91"/>
      <c r="K16" s="92">
        <f>SUM(K6:K15)</f>
        <v>39707.960000000006</v>
      </c>
      <c r="L16" s="93">
        <f>ROUND(M16*10000/SUM(K6:K14),0)</f>
        <v>5287</v>
      </c>
      <c r="M16" s="93">
        <f>SUM(M6:M14)</f>
        <v>20992</v>
      </c>
      <c r="N16" s="94">
        <f>ROUND(SUMPRODUCT(M6:M14,N6:N14)/M16,3)</f>
        <v>0.88</v>
      </c>
      <c r="O16" s="93">
        <f>SUM(O6:O14)</f>
        <v>0</v>
      </c>
      <c r="P16" s="93">
        <f>SUM(P6:P14)</f>
        <v>0</v>
      </c>
      <c r="Q16" s="95">
        <f>ROUND(SUMPRODUCT(Q6:Q13,K6:K13)/SUMPRODUCT((Q6:Q13&gt;0)*(K6:K13)),2)</f>
        <v>0.13</v>
      </c>
      <c r="R16" s="1030">
        <f ca="1">SUM(R6:R13)</f>
        <v>6294.35</v>
      </c>
      <c r="S16" s="96">
        <f>SUM(S6:S13)</f>
        <v>281.97000000000003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v>2017</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f>ROUND(1-(2024-N17)/60,2)</f>
        <v>0.88</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1210</v>
      </c>
      <c r="B19" s="103"/>
      <c r="C19" s="2794" t="s">
        <v>2302</v>
      </c>
      <c r="D19" s="2671"/>
      <c r="E19" s="2668"/>
      <c r="F19" s="2668"/>
      <c r="G19" s="2668"/>
      <c r="H19" s="2668"/>
      <c r="I19" s="2668"/>
      <c r="J19" s="2668"/>
      <c r="K19" s="2667"/>
      <c r="L19" s="2667"/>
      <c r="M19" s="2666">
        <f>ROUND((M6+M14)/(K6+K14)*10000,0)</f>
        <v>5395</v>
      </c>
      <c r="N19" s="2666">
        <v>0.88</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1211</v>
      </c>
      <c r="B20" s="104">
        <v>2</v>
      </c>
      <c r="C20" s="2795" t="s">
        <v>2300</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1212</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1213</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1215</v>
      </c>
      <c r="B24" s="106">
        <f>B20-B21</f>
        <v>0</v>
      </c>
      <c r="C24" s="2668"/>
      <c r="D24" s="2671"/>
      <c r="E24" s="2668"/>
      <c r="F24" s="2668"/>
      <c r="G24" s="2668"/>
      <c r="H24" s="2668"/>
      <c r="I24" s="3477" t="s">
        <v>3409</v>
      </c>
      <c r="J24" s="3477" t="s">
        <v>3410</v>
      </c>
      <c r="K24" s="3477"/>
      <c r="L24" s="2667"/>
      <c r="M24" s="2666">
        <f>M25+M28+M29</f>
        <v>5321</v>
      </c>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customHeight="1" thickBot="1">
      <c r="A25" s="1552"/>
      <c r="B25" s="1682"/>
      <c r="C25" s="2668"/>
      <c r="D25" s="2671"/>
      <c r="E25" s="2668"/>
      <c r="F25" s="2668"/>
      <c r="G25" s="2668"/>
      <c r="H25" s="2668"/>
      <c r="I25" s="3477"/>
      <c r="J25" s="3575" t="s">
        <v>3411</v>
      </c>
      <c r="K25" s="3477" t="s">
        <v>3408</v>
      </c>
      <c r="L25" s="2667">
        <f>L26+L27</f>
        <v>39707.960000000006</v>
      </c>
      <c r="M25" s="2666">
        <f>ROUND((M26*L26+M27*L27)/L25,0)</f>
        <v>2163</v>
      </c>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1216</v>
      </c>
      <c r="B26" s="1721" t="s">
        <v>1217</v>
      </c>
      <c r="C26" s="2672" t="s">
        <v>1218</v>
      </c>
      <c r="D26" s="2671"/>
      <c r="E26" s="2668"/>
      <c r="F26" s="2668"/>
      <c r="G26" s="2668"/>
      <c r="H26" s="2668"/>
      <c r="I26" s="3477"/>
      <c r="J26" s="3575"/>
      <c r="K26" s="3477" t="s">
        <v>3382</v>
      </c>
      <c r="L26" s="3478">
        <f>K6+K14</f>
        <v>32488.930000000008</v>
      </c>
      <c r="M26" s="3477">
        <f>面积!K9</f>
        <v>2273</v>
      </c>
      <c r="N26" s="2666">
        <f>M26+M28+M29</f>
        <v>5431</v>
      </c>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1219</v>
      </c>
      <c r="B27" s="107"/>
      <c r="C27" s="2796" t="s">
        <v>2304</v>
      </c>
      <c r="D27" s="2674"/>
      <c r="E27" s="2656"/>
      <c r="F27" s="2656"/>
      <c r="G27" s="2668"/>
      <c r="H27" s="2668"/>
      <c r="I27" s="3477"/>
      <c r="J27" s="3575"/>
      <c r="K27" s="3477" t="s">
        <v>3395</v>
      </c>
      <c r="L27" s="3478">
        <f>K7</f>
        <v>7219.03</v>
      </c>
      <c r="M27" s="3477">
        <f>面积!K10</f>
        <v>1670</v>
      </c>
      <c r="N27" s="2666">
        <f>M27+M28+M29</f>
        <v>4828</v>
      </c>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3" customFormat="1" ht="27.75">
      <c r="A28" s="1724" t="s">
        <v>1220</v>
      </c>
      <c r="B28" s="110">
        <v>200</v>
      </c>
      <c r="C28" s="2675"/>
      <c r="D28" s="2674"/>
      <c r="E28" s="2656"/>
      <c r="F28" s="2656"/>
      <c r="G28" s="2668"/>
      <c r="H28" s="2668"/>
      <c r="I28" s="3477"/>
      <c r="J28" s="3477" t="s">
        <v>3412</v>
      </c>
      <c r="K28" s="3477"/>
      <c r="L28" s="2667"/>
      <c r="M28" s="2666">
        <v>800</v>
      </c>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3" customFormat="1" ht="28.5" thickBot="1">
      <c r="A29" s="1725" t="s">
        <v>1221</v>
      </c>
      <c r="B29" s="112">
        <f>ROUND(B28*K16/10000,0)</f>
        <v>794</v>
      </c>
      <c r="C29" s="2797" t="s">
        <v>2291</v>
      </c>
      <c r="D29" s="2674"/>
      <c r="E29" s="2656"/>
      <c r="F29" s="2656"/>
      <c r="G29" s="2668"/>
      <c r="H29" s="2668"/>
      <c r="I29" s="3477"/>
      <c r="J29" s="3477" t="s">
        <v>3413</v>
      </c>
      <c r="K29" s="3477"/>
      <c r="L29" s="2667"/>
      <c r="M29" s="2666">
        <f>面积!I13</f>
        <v>2358</v>
      </c>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3" customFormat="1" ht="27">
      <c r="A30" s="1726" t="s">
        <v>1222</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3" customFormat="1" ht="27">
      <c r="A31" s="1724"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3" customFormat="1" ht="27.75" thickBot="1">
      <c r="A32" s="1727" t="s">
        <v>1224</v>
      </c>
      <c r="B32" s="671"/>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3" customFormat="1" ht="14.25">
      <c r="A33" s="1722" t="s">
        <v>1225</v>
      </c>
      <c r="B33" s="3473">
        <v>0.04</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3" customFormat="1" ht="14.25">
      <c r="A34" s="1724" t="s">
        <v>1226</v>
      </c>
      <c r="B34" s="113">
        <v>0</v>
      </c>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3" customFormat="1" ht="14.25">
      <c r="A35" s="1724" t="s">
        <v>1227</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5" t="s">
        <v>1228</v>
      </c>
      <c r="B36" s="3474">
        <v>0.02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1229</v>
      </c>
      <c r="B37" s="114">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1230</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1231</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2311</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1232</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1233</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1234</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1235</v>
      </c>
      <c r="B44" s="118">
        <v>7.0000000000000007E-2</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1236</v>
      </c>
      <c r="B45" s="116">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1237</v>
      </c>
      <c r="B46" s="116">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1238</v>
      </c>
      <c r="B47" s="119"/>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1239</v>
      </c>
      <c r="B48" s="120">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1240</v>
      </c>
      <c r="B49" s="116">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1241</v>
      </c>
      <c r="B50" s="121">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1242</v>
      </c>
      <c r="B51" s="122">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1243</v>
      </c>
      <c r="B52" s="123">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1244</v>
      </c>
      <c r="B53" s="1733" t="s">
        <v>29</v>
      </c>
      <c r="C53" s="2656" t="s">
        <v>1245</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1251</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1255</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6"/>
      <c r="D69" s="1737"/>
      <c r="K69" s="726"/>
      <c r="L69" s="726"/>
    </row>
    <row r="70" spans="1:44" s="791" customFormat="1">
      <c r="A70" s="1736"/>
      <c r="D70" s="1737"/>
      <c r="K70" s="726"/>
      <c r="L70" s="726"/>
    </row>
    <row r="71" spans="1:44" s="791" customFormat="1">
      <c r="A71" s="1736"/>
      <c r="D71" s="1737"/>
      <c r="K71" s="726"/>
      <c r="L71" s="726"/>
    </row>
    <row r="72" spans="1:44" s="791" customFormat="1">
      <c r="A72" s="1736"/>
      <c r="D72" s="1737"/>
      <c r="K72" s="726"/>
      <c r="L72" s="726"/>
    </row>
    <row r="73" spans="1:44" s="791" customFormat="1">
      <c r="A73" s="1736"/>
      <c r="D73" s="1737"/>
      <c r="K73" s="726"/>
      <c r="L73" s="726"/>
    </row>
    <row r="74" spans="1:44" s="791" customFormat="1">
      <c r="A74" s="1736"/>
      <c r="D74" s="1737"/>
      <c r="K74" s="726"/>
      <c r="L74" s="726"/>
    </row>
    <row r="75" spans="1:44" s="791" customFormat="1">
      <c r="A75" s="1736"/>
      <c r="D75" s="1737"/>
      <c r="K75" s="726"/>
      <c r="L75" s="726"/>
    </row>
    <row r="76" spans="1:44" s="791" customFormat="1">
      <c r="A76" s="1736"/>
      <c r="D76" s="1737"/>
      <c r="K76" s="726"/>
      <c r="L76" s="726"/>
    </row>
    <row r="77" spans="1:44" s="791" customFormat="1">
      <c r="A77" s="1736"/>
      <c r="D77" s="1737"/>
      <c r="K77" s="726"/>
      <c r="L77" s="726"/>
    </row>
    <row r="78" spans="1:44" s="791" customFormat="1">
      <c r="A78" s="1736"/>
      <c r="D78" s="1737"/>
      <c r="K78" s="726"/>
      <c r="L78" s="726"/>
    </row>
    <row r="79" spans="1:44" s="791" customFormat="1">
      <c r="A79" s="1736"/>
      <c r="D79" s="1737"/>
      <c r="K79" s="726"/>
      <c r="L79" s="726"/>
    </row>
    <row r="80" spans="1:44" s="791" customFormat="1">
      <c r="A80" s="1736"/>
      <c r="D80" s="1737"/>
      <c r="K80" s="726"/>
      <c r="L80" s="726"/>
    </row>
    <row r="81" spans="1:12" s="791" customFormat="1">
      <c r="A81" s="1736"/>
      <c r="D81" s="1737"/>
      <c r="K81" s="726"/>
      <c r="L81" s="726"/>
    </row>
    <row r="82" spans="1:12" s="791" customFormat="1">
      <c r="A82" s="1736"/>
      <c r="D82" s="1737"/>
      <c r="K82" s="726"/>
      <c r="L82" s="726"/>
    </row>
    <row r="83" spans="1:12" s="791" customFormat="1">
      <c r="A83" s="1736"/>
      <c r="D83" s="1737"/>
      <c r="K83" s="726"/>
      <c r="L83" s="726"/>
    </row>
    <row r="84" spans="1:12" s="791" customFormat="1">
      <c r="A84" s="1736"/>
      <c r="D84" s="1737"/>
      <c r="K84" s="726"/>
      <c r="L84" s="726"/>
    </row>
    <row r="85" spans="1:12" s="791" customFormat="1">
      <c r="A85" s="1736"/>
      <c r="D85" s="1737"/>
      <c r="K85" s="726"/>
      <c r="L85" s="726"/>
    </row>
    <row r="86" spans="1:12" s="791" customFormat="1">
      <c r="A86" s="1736"/>
      <c r="D86" s="1737"/>
      <c r="K86" s="726"/>
      <c r="L86" s="726"/>
    </row>
    <row r="87" spans="1:12" s="791" customFormat="1">
      <c r="A87" s="1736"/>
      <c r="D87" s="1737"/>
      <c r="K87" s="726"/>
      <c r="L87" s="726"/>
    </row>
    <row r="88" spans="1:12" s="791" customFormat="1">
      <c r="A88" s="1736"/>
      <c r="D88" s="1737"/>
      <c r="K88" s="726"/>
      <c r="L88" s="726"/>
    </row>
    <row r="89" spans="1:12" s="791" customFormat="1">
      <c r="A89" s="1736"/>
      <c r="D89" s="1737"/>
      <c r="K89" s="726"/>
      <c r="L89" s="726"/>
    </row>
    <row r="90" spans="1:12" s="791" customFormat="1">
      <c r="A90" s="1736"/>
      <c r="D90" s="1737"/>
      <c r="K90" s="726"/>
      <c r="L90" s="726"/>
    </row>
    <row r="91" spans="1:12" s="791" customFormat="1">
      <c r="A91" s="1736"/>
      <c r="D91" s="1737"/>
      <c r="K91" s="726"/>
      <c r="L91" s="726"/>
    </row>
    <row r="92" spans="1:12" s="791" customFormat="1">
      <c r="A92" s="1736"/>
      <c r="D92" s="1737"/>
      <c r="K92" s="726"/>
      <c r="L92" s="726"/>
    </row>
    <row r="93" spans="1:12" s="791" customFormat="1">
      <c r="A93" s="1736"/>
      <c r="D93" s="1737"/>
      <c r="K93" s="726"/>
      <c r="L93" s="726"/>
    </row>
    <row r="94" spans="1:12" s="791" customFormat="1">
      <c r="A94" s="1736"/>
      <c r="D94" s="1737"/>
      <c r="K94" s="726"/>
      <c r="L94" s="726"/>
    </row>
    <row r="95" spans="1:12" s="791" customFormat="1">
      <c r="A95" s="1736"/>
      <c r="D95" s="1737"/>
      <c r="K95" s="726"/>
      <c r="L95" s="726"/>
    </row>
    <row r="96" spans="1:12" s="791" customFormat="1">
      <c r="A96" s="1736"/>
      <c r="D96" s="1737"/>
      <c r="K96" s="726"/>
      <c r="L96" s="726"/>
    </row>
    <row r="97" spans="1:12" s="791" customFormat="1">
      <c r="A97" s="1736"/>
      <c r="D97" s="1737"/>
      <c r="K97" s="726"/>
      <c r="L97" s="726"/>
    </row>
    <row r="98" spans="1:12" s="791" customFormat="1">
      <c r="A98" s="1736"/>
      <c r="D98" s="1737"/>
      <c r="K98" s="726"/>
      <c r="L98" s="726"/>
    </row>
    <row r="99" spans="1:12" s="791" customFormat="1">
      <c r="A99" s="1736"/>
      <c r="D99" s="1737"/>
      <c r="K99" s="726"/>
      <c r="L99" s="726"/>
    </row>
    <row r="100" spans="1:12" s="791" customFormat="1">
      <c r="A100" s="1736"/>
      <c r="D100" s="1737"/>
      <c r="K100" s="726"/>
      <c r="L100" s="726"/>
    </row>
    <row r="101" spans="1:12" s="791" customFormat="1">
      <c r="A101" s="1736"/>
      <c r="D101" s="1737"/>
      <c r="K101" s="726"/>
      <c r="L101" s="726"/>
    </row>
    <row r="102" spans="1:12" s="791" customFormat="1">
      <c r="A102" s="1736"/>
      <c r="D102" s="1737"/>
      <c r="K102" s="726"/>
      <c r="L102" s="726"/>
    </row>
    <row r="103" spans="1:12" s="791" customFormat="1">
      <c r="A103" s="1736"/>
      <c r="D103" s="1737"/>
      <c r="K103" s="726"/>
      <c r="L103" s="726"/>
    </row>
    <row r="104" spans="1:12" s="791" customFormat="1">
      <c r="A104" s="1736"/>
      <c r="D104" s="1737"/>
      <c r="K104" s="726"/>
      <c r="L104" s="726"/>
    </row>
    <row r="105" spans="1:12" s="791" customFormat="1">
      <c r="A105" s="1736"/>
      <c r="D105" s="1737"/>
      <c r="K105" s="726"/>
      <c r="L105" s="726"/>
    </row>
    <row r="106" spans="1:12" s="791" customFormat="1">
      <c r="A106" s="1736"/>
      <c r="D106" s="1737"/>
      <c r="K106" s="726"/>
      <c r="L106" s="726"/>
    </row>
    <row r="107" spans="1:12" s="791" customFormat="1">
      <c r="A107" s="1736"/>
      <c r="D107" s="1737"/>
      <c r="K107" s="726"/>
      <c r="L107" s="726"/>
    </row>
    <row r="108" spans="1:12" s="791" customFormat="1">
      <c r="A108" s="1736"/>
      <c r="D108" s="1737"/>
      <c r="K108" s="726"/>
      <c r="L108" s="726"/>
    </row>
    <row r="109" spans="1:12" s="791" customFormat="1">
      <c r="A109" s="1736"/>
      <c r="D109" s="1737"/>
      <c r="K109" s="726"/>
      <c r="L109" s="726"/>
    </row>
    <row r="110" spans="1:12" s="791" customFormat="1">
      <c r="A110" s="1736"/>
      <c r="D110" s="1737"/>
      <c r="K110" s="726"/>
      <c r="L110" s="726"/>
    </row>
    <row r="111" spans="1:12" s="791" customFormat="1">
      <c r="A111" s="1736"/>
      <c r="D111" s="1737"/>
      <c r="K111" s="726"/>
      <c r="L111" s="726"/>
    </row>
    <row r="112" spans="1:12" s="791" customFormat="1">
      <c r="A112" s="1736"/>
      <c r="D112" s="1737"/>
      <c r="K112" s="726"/>
      <c r="L112" s="726"/>
    </row>
    <row r="113" spans="1:12" s="791" customFormat="1">
      <c r="A113" s="1736"/>
      <c r="D113" s="1737"/>
      <c r="K113" s="726"/>
      <c r="L113" s="726"/>
    </row>
    <row r="114" spans="1:12" s="791" customFormat="1">
      <c r="A114" s="1736"/>
      <c r="D114" s="1737"/>
      <c r="K114" s="726"/>
      <c r="L114" s="726"/>
    </row>
    <row r="115" spans="1:12" s="791" customFormat="1">
      <c r="A115" s="1736"/>
      <c r="D115" s="1737"/>
      <c r="K115" s="726"/>
      <c r="L115" s="726"/>
    </row>
    <row r="116" spans="1:12" s="791" customFormat="1">
      <c r="A116" s="1736"/>
      <c r="D116" s="1737"/>
      <c r="K116" s="726"/>
      <c r="L116" s="726"/>
    </row>
    <row r="117" spans="1:12" s="791" customFormat="1">
      <c r="A117" s="1736"/>
      <c r="D117" s="1737"/>
      <c r="K117" s="726"/>
      <c r="L117" s="726"/>
    </row>
    <row r="118" spans="1:12" s="791" customFormat="1">
      <c r="A118" s="1736"/>
      <c r="D118" s="1737"/>
      <c r="K118" s="726"/>
      <c r="L118" s="726"/>
    </row>
    <row r="119" spans="1:12" s="791" customFormat="1">
      <c r="A119" s="1736"/>
      <c r="D119" s="1737"/>
      <c r="K119" s="726"/>
      <c r="L119" s="726"/>
    </row>
    <row r="120" spans="1:12" s="791" customFormat="1">
      <c r="A120" s="1736"/>
      <c r="D120" s="1737"/>
      <c r="K120" s="726"/>
      <c r="L120" s="726"/>
    </row>
    <row r="121" spans="1:12" s="791" customFormat="1">
      <c r="A121" s="1736"/>
      <c r="D121" s="1737"/>
      <c r="K121" s="726"/>
      <c r="L121" s="726"/>
    </row>
    <row r="122" spans="1:12" s="791" customFormat="1">
      <c r="A122" s="1736"/>
      <c r="D122" s="1737"/>
      <c r="K122" s="726"/>
      <c r="L122" s="726"/>
    </row>
    <row r="123" spans="1:12" s="791" customFormat="1">
      <c r="A123" s="1736"/>
      <c r="D123" s="1737"/>
      <c r="K123" s="726"/>
      <c r="L123" s="726"/>
    </row>
    <row r="124" spans="1:12" s="791" customFormat="1">
      <c r="A124" s="1736"/>
      <c r="D124" s="1737"/>
      <c r="K124" s="726"/>
      <c r="L124" s="726"/>
    </row>
    <row r="125" spans="1:12" s="791" customFormat="1">
      <c r="A125" s="1736"/>
      <c r="D125" s="1737"/>
      <c r="K125" s="726"/>
      <c r="L125" s="726"/>
    </row>
    <row r="126" spans="1:12" s="791" customFormat="1">
      <c r="A126" s="1736"/>
      <c r="D126" s="1737"/>
      <c r="K126" s="726"/>
      <c r="L126" s="726"/>
    </row>
    <row r="127" spans="1:12" s="791" customFormat="1">
      <c r="A127" s="1736"/>
      <c r="D127" s="1737"/>
      <c r="K127" s="726"/>
      <c r="L127" s="726"/>
    </row>
    <row r="128" spans="1:12" s="791" customFormat="1">
      <c r="A128" s="1736"/>
      <c r="D128" s="1737"/>
      <c r="K128" s="726"/>
      <c r="L128" s="726"/>
    </row>
    <row r="129" spans="1:12" s="791" customFormat="1">
      <c r="A129" s="1736"/>
      <c r="D129" s="1737"/>
      <c r="K129" s="726"/>
      <c r="L129" s="726"/>
    </row>
    <row r="130" spans="1:12" s="791" customFormat="1">
      <c r="A130" s="1736"/>
      <c r="D130" s="1737"/>
      <c r="K130" s="726"/>
      <c r="L130" s="726"/>
    </row>
    <row r="131" spans="1:12" s="791" customFormat="1">
      <c r="A131" s="1736"/>
      <c r="D131" s="1737"/>
      <c r="K131" s="726"/>
      <c r="L131" s="726"/>
    </row>
    <row r="132" spans="1:12" s="791" customFormat="1">
      <c r="A132" s="1736"/>
      <c r="D132" s="1737"/>
      <c r="K132" s="726"/>
      <c r="L132" s="726"/>
    </row>
    <row r="133" spans="1:12" s="791" customFormat="1">
      <c r="A133" s="1736"/>
      <c r="D133" s="1737"/>
      <c r="K133" s="726"/>
      <c r="L133" s="726"/>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mergeCells count="1">
    <mergeCell ref="J25:J27"/>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1"/>
  </cols>
  <sheetData>
    <row r="1" spans="1:29" s="2452" customFormat="1" ht="18.75" thickBot="1">
      <c r="A1" s="3576" t="s">
        <v>2283</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7"/>
      <c r="I2" s="797"/>
      <c r="J2" s="797"/>
      <c r="K2" s="797"/>
      <c r="L2" s="797"/>
      <c r="M2" s="797"/>
      <c r="N2" s="797"/>
      <c r="O2" s="797"/>
      <c r="P2" s="797"/>
      <c r="Q2" s="797"/>
      <c r="R2" s="797"/>
    </row>
    <row r="3" spans="1:29" ht="48">
      <c r="A3" s="2436" t="s">
        <v>2280</v>
      </c>
      <c r="B3" s="2458" t="s">
        <v>2249</v>
      </c>
      <c r="C3" s="2459" t="s">
        <v>2281</v>
      </c>
      <c r="D3" s="2460"/>
      <c r="E3" s="2437" t="s">
        <v>2280</v>
      </c>
      <c r="F3" s="2461" t="s">
        <v>2250</v>
      </c>
      <c r="G3" s="2462" t="s">
        <v>2282</v>
      </c>
      <c r="H3" s="797"/>
      <c r="I3" s="797"/>
      <c r="J3" s="797"/>
      <c r="K3" s="797"/>
      <c r="L3" s="797"/>
      <c r="M3" s="797"/>
      <c r="N3" s="797"/>
      <c r="O3" s="797"/>
      <c r="P3" s="797"/>
      <c r="Q3" s="797"/>
      <c r="R3" s="797"/>
    </row>
    <row r="4" spans="1:29" ht="36.75">
      <c r="A4" s="2437"/>
      <c r="B4" s="322" t="s">
        <v>2251</v>
      </c>
      <c r="C4" s="2463" t="s">
        <v>2252</v>
      </c>
      <c r="D4" s="2460"/>
      <c r="E4" s="2464"/>
      <c r="F4" s="1368" t="s">
        <v>2253</v>
      </c>
      <c r="G4" s="2465" t="s">
        <v>2254</v>
      </c>
      <c r="H4" s="797"/>
      <c r="I4" s="797"/>
      <c r="J4" s="797"/>
      <c r="K4" s="797"/>
      <c r="L4" s="797"/>
      <c r="M4" s="797"/>
      <c r="N4" s="797"/>
      <c r="O4" s="797"/>
      <c r="P4" s="797"/>
      <c r="Q4" s="797"/>
      <c r="R4" s="797"/>
    </row>
    <row r="5" spans="1:29" ht="36.75">
      <c r="A5" s="2437"/>
      <c r="B5" s="322" t="s">
        <v>2255</v>
      </c>
      <c r="C5" s="2463" t="s">
        <v>2256</v>
      </c>
      <c r="D5" s="2460"/>
      <c r="E5" s="2464"/>
      <c r="F5" s="322" t="s">
        <v>2257</v>
      </c>
      <c r="G5" s="2465" t="s">
        <v>2258</v>
      </c>
      <c r="H5" s="797"/>
      <c r="I5" s="797"/>
      <c r="J5" s="797"/>
      <c r="K5" s="797"/>
      <c r="L5" s="797"/>
      <c r="M5" s="797"/>
      <c r="N5" s="797"/>
      <c r="O5" s="797"/>
      <c r="P5" s="797"/>
      <c r="Q5" s="797"/>
      <c r="R5" s="797"/>
    </row>
    <row r="6" spans="1:29" ht="36">
      <c r="A6" s="2437"/>
      <c r="B6" s="322" t="s">
        <v>2259</v>
      </c>
      <c r="C6" s="2465" t="s">
        <v>2254</v>
      </c>
      <c r="D6" s="2460"/>
      <c r="E6" s="2464"/>
      <c r="F6" s="322" t="s">
        <v>2260</v>
      </c>
      <c r="G6" s="2465" t="s">
        <v>2261</v>
      </c>
      <c r="H6" s="797"/>
      <c r="I6" s="797"/>
      <c r="J6" s="797"/>
      <c r="K6" s="797"/>
      <c r="L6" s="797"/>
      <c r="M6" s="797"/>
      <c r="N6" s="797"/>
      <c r="O6" s="797"/>
      <c r="P6" s="797"/>
      <c r="Q6" s="797"/>
      <c r="R6" s="797"/>
    </row>
    <row r="7" spans="1:29" ht="24.75" thickBot="1">
      <c r="A7" s="2437"/>
      <c r="B7" s="322" t="s">
        <v>2257</v>
      </c>
      <c r="C7" s="2465" t="s">
        <v>2258</v>
      </c>
      <c r="D7" s="2466"/>
      <c r="E7" s="2467"/>
      <c r="F7" s="2468" t="s">
        <v>2262</v>
      </c>
      <c r="G7" s="2469" t="s">
        <v>2263</v>
      </c>
      <c r="H7" s="797"/>
      <c r="I7" s="797"/>
      <c r="J7" s="797"/>
      <c r="K7" s="797"/>
      <c r="L7" s="797"/>
      <c r="M7" s="797"/>
      <c r="N7" s="797"/>
      <c r="O7" s="797"/>
      <c r="P7" s="797"/>
      <c r="Q7" s="797"/>
      <c r="R7" s="797"/>
    </row>
    <row r="8" spans="1:29">
      <c r="A8" s="2437"/>
      <c r="B8" s="322" t="s">
        <v>2260</v>
      </c>
      <c r="C8" s="2465" t="s">
        <v>2261</v>
      </c>
      <c r="D8" s="2466"/>
      <c r="E8" s="2466"/>
      <c r="F8" s="2470"/>
      <c r="G8" s="2470"/>
      <c r="H8" s="797"/>
      <c r="I8" s="797"/>
      <c r="J8" s="797"/>
      <c r="K8" s="797"/>
      <c r="L8" s="797"/>
      <c r="M8" s="797"/>
      <c r="N8" s="797"/>
      <c r="O8" s="797"/>
      <c r="P8" s="797"/>
      <c r="Q8" s="797"/>
      <c r="R8" s="797"/>
    </row>
    <row r="9" spans="1:29" ht="24">
      <c r="A9" s="2437"/>
      <c r="B9" s="322" t="s">
        <v>2264</v>
      </c>
      <c r="C9" s="2463" t="s">
        <v>2265</v>
      </c>
      <c r="D9" s="2460"/>
      <c r="E9" s="2466"/>
      <c r="F9" s="2470"/>
      <c r="G9" s="2470"/>
      <c r="H9" s="797"/>
      <c r="I9" s="797"/>
      <c r="J9" s="797"/>
      <c r="K9" s="797"/>
      <c r="L9" s="797"/>
      <c r="M9" s="797"/>
      <c r="N9" s="797"/>
      <c r="O9" s="797"/>
      <c r="P9" s="797"/>
      <c r="Q9" s="797"/>
      <c r="R9" s="797"/>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2"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2" t="s">
        <v>2260</v>
      </c>
      <c r="G20" s="2498" t="str">
        <f>G6</f>
        <v>估价对象所在区域基础设施水平</v>
      </c>
    </row>
    <row r="21" spans="1:18" ht="25.5">
      <c r="A21" s="2441"/>
      <c r="B21" s="322" t="s">
        <v>2257</v>
      </c>
      <c r="C21" s="2498" t="str">
        <f>C7</f>
        <v>估价对象所在区域公共配套设施齐备情况</v>
      </c>
      <c r="D21" s="2460"/>
      <c r="E21" s="2442"/>
      <c r="F21" s="2497" t="s">
        <v>2275</v>
      </c>
      <c r="G21" s="2500"/>
    </row>
    <row r="22" spans="1:18" ht="13.5" customHeight="1">
      <c r="A22" s="2441"/>
      <c r="B22" s="322" t="s">
        <v>2260</v>
      </c>
      <c r="C22" s="2498" t="str">
        <f>C8</f>
        <v>估价对象所在区域基础设施水平</v>
      </c>
      <c r="D22" s="2460"/>
      <c r="E22" s="2442"/>
      <c r="F22" s="2497" t="s">
        <v>2266</v>
      </c>
      <c r="G22" s="2499"/>
    </row>
    <row r="23" spans="1:18" s="797"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7" customFormat="1" ht="15" thickBot="1">
      <c r="A24" s="2444"/>
      <c r="B24" s="2501" t="s">
        <v>2277</v>
      </c>
      <c r="C24" s="2503">
        <f>C10</f>
        <v>0</v>
      </c>
      <c r="D24" s="1736"/>
      <c r="E24" s="2434"/>
      <c r="F24" s="2434"/>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39707.960000000006</v>
      </c>
      <c r="C1" s="2681"/>
      <c r="D1" s="2681"/>
      <c r="E1" s="2681"/>
      <c r="F1" s="2681"/>
      <c r="G1" s="2682"/>
      <c r="H1" s="2683"/>
      <c r="I1" s="2683"/>
      <c r="J1" s="2683"/>
      <c r="K1" s="2683"/>
    </row>
    <row r="2" spans="1:11" ht="16.5">
      <c r="A2" s="2507" t="s">
        <v>653</v>
      </c>
      <c r="B2" s="2507">
        <f>SUM(C14:C23)</f>
        <v>6294.36</v>
      </c>
      <c r="C2" s="2681"/>
      <c r="D2" s="2681"/>
      <c r="E2" s="2681"/>
      <c r="F2" s="2681"/>
      <c r="G2" s="2682"/>
      <c r="H2" s="2683"/>
      <c r="I2" s="2683"/>
      <c r="J2" s="2683"/>
      <c r="K2" s="2683"/>
    </row>
    <row r="3" spans="1:11" ht="16.5">
      <c r="A3" s="2507" t="s">
        <v>662</v>
      </c>
      <c r="B3" s="2509">
        <f>项目基本情况!D3</f>
        <v>45322</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64238</v>
      </c>
      <c r="C5" s="2507">
        <f ca="1">IF(B5=D14,结果表!H102,ROUND(B5*10000/$B$1,0))</f>
        <v>16178</v>
      </c>
      <c r="D5" s="2507">
        <f ca="1">ROUND(B5*10000/$B$2,0)</f>
        <v>102056</v>
      </c>
      <c r="E5" s="2681"/>
      <c r="F5" s="2682"/>
      <c r="G5" s="2682"/>
      <c r="H5" s="2683"/>
      <c r="I5" s="2683"/>
      <c r="J5" s="2683"/>
      <c r="K5" s="2683"/>
    </row>
    <row r="6" spans="1:11" ht="16.5">
      <c r="A6" s="2507" t="s">
        <v>656</v>
      </c>
      <c r="B6" s="2507">
        <f ca="1">SUM(G14:G23)</f>
        <v>64238</v>
      </c>
      <c r="C6" s="2507">
        <f ca="1">IF(B6=G14,结果表!H108,ROUND(B6*10000/$B$1,0))</f>
        <v>16178</v>
      </c>
      <c r="D6" s="2507">
        <f ca="1">ROUND(B6*10000/$B$2,0)</f>
        <v>102056</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39707.960000000006</v>
      </c>
      <c r="C14" s="2513">
        <f>'数据-汇总表'!D3</f>
        <v>6294.36</v>
      </c>
      <c r="D14" s="2513">
        <f ca="1">结果表!G19</f>
        <v>64238</v>
      </c>
      <c r="E14" s="2513">
        <f ca="1">ROUND(D14*10000/B14,0)</f>
        <v>16178</v>
      </c>
      <c r="F14" s="2513">
        <f ca="1">ROUND(D14*10000/C14,0)</f>
        <v>102056</v>
      </c>
      <c r="G14" s="2513">
        <f ca="1">D14</f>
        <v>64238</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90" zoomScaleNormal="100" zoomScaleSheetLayoutView="90" zoomScalePageLayoutView="80" workbookViewId="0">
      <selection activeCell="B118" sqref="B118:I118"/>
    </sheetView>
  </sheetViews>
  <sheetFormatPr defaultColWidth="12.625" defaultRowHeight="21.75" customHeight="1"/>
  <cols>
    <col min="1" max="2" width="12.625" style="1748"/>
    <col min="3" max="4" width="12.625" style="1748" customWidth="1"/>
    <col min="5" max="9" width="12.625" style="1748"/>
    <col min="10" max="11" width="12.625" style="723" customWidth="1"/>
    <col min="12" max="12" width="12.625" style="723"/>
    <col min="13" max="13" width="14.125" style="723" bestFit="1" customWidth="1"/>
    <col min="14" max="26" width="12.625" style="723"/>
    <col min="27" max="35" width="12.625" style="1747"/>
    <col min="36" max="16384" width="12.625" style="1748"/>
  </cols>
  <sheetData>
    <row r="1" spans="1:12" ht="21.75" customHeight="1" thickBot="1">
      <c r="A1" s="1632" t="s">
        <v>1261</v>
      </c>
      <c r="B1" s="1742"/>
      <c r="C1" s="1743"/>
      <c r="D1" s="1742"/>
      <c r="E1" s="1742"/>
      <c r="F1" s="1744" t="s">
        <v>1262</v>
      </c>
      <c r="G1" s="1556"/>
      <c r="H1" s="1745" t="str">
        <f>IF(G1="现房","——","估价对象范围")</f>
        <v>估价对象范围</v>
      </c>
      <c r="I1" s="1746"/>
    </row>
    <row r="2" spans="1:12" ht="21.75" customHeight="1" thickBot="1">
      <c r="A2" s="3612" t="str">
        <f>项目基本情况!S2</f>
        <v>北京市房地产</v>
      </c>
      <c r="B2" s="3613"/>
      <c r="C2" s="3613"/>
      <c r="D2" s="3613"/>
      <c r="E2" s="3613"/>
      <c r="F2" s="3613"/>
      <c r="G2" s="3613"/>
      <c r="H2" s="3613"/>
      <c r="I2" s="3614"/>
    </row>
    <row r="3" spans="1:12" ht="12.75">
      <c r="A3" s="3616" t="s">
        <v>1263</v>
      </c>
      <c r="B3" s="3617"/>
      <c r="C3" s="3617"/>
      <c r="D3" s="3617"/>
      <c r="E3" s="3617"/>
      <c r="F3" s="3617"/>
      <c r="G3" s="3617"/>
      <c r="H3" s="3617"/>
      <c r="I3" s="3617"/>
    </row>
    <row r="4" spans="1:12" ht="14.25">
      <c r="A4" s="1749" t="s">
        <v>1264</v>
      </c>
      <c r="B4" s="1750" t="s">
        <v>1265</v>
      </c>
      <c r="C4" s="1751" t="s">
        <v>3434</v>
      </c>
      <c r="D4" s="1751" t="s">
        <v>3435</v>
      </c>
      <c r="E4" s="3618" t="s">
        <v>1266</v>
      </c>
      <c r="F4" s="3619"/>
      <c r="G4" s="3619"/>
      <c r="H4" s="3619"/>
      <c r="I4" s="362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1267</v>
      </c>
      <c r="B5" s="3579">
        <v>25</v>
      </c>
      <c r="C5" s="3595"/>
      <c r="D5" s="3615"/>
      <c r="E5" s="130" t="s">
        <v>1268</v>
      </c>
      <c r="F5" s="1752"/>
      <c r="G5" s="1752"/>
      <c r="H5" s="1752"/>
      <c r="I5" s="1368"/>
    </row>
    <row r="6" spans="1:12" ht="12.75">
      <c r="A6" s="3592"/>
      <c r="B6" s="3579"/>
      <c r="C6" s="3596"/>
      <c r="D6" s="3615"/>
      <c r="E6" s="130" t="s">
        <v>1269</v>
      </c>
      <c r="F6" s="1752"/>
      <c r="G6" s="1752"/>
      <c r="H6" s="1752"/>
      <c r="I6" s="1368"/>
    </row>
    <row r="7" spans="1:12" ht="12.75">
      <c r="A7" s="3592"/>
      <c r="B7" s="3579"/>
      <c r="C7" s="3597"/>
      <c r="D7" s="3615"/>
      <c r="E7" s="130" t="s">
        <v>1270</v>
      </c>
      <c r="F7" s="1752"/>
      <c r="G7" s="1752"/>
      <c r="H7" s="1752"/>
      <c r="I7" s="1368"/>
    </row>
    <row r="8" spans="1:12" ht="12.75">
      <c r="A8" s="3592" t="s">
        <v>1271</v>
      </c>
      <c r="B8" s="3579">
        <v>15</v>
      </c>
      <c r="C8" s="3595"/>
      <c r="D8" s="3615"/>
      <c r="E8" s="130" t="s">
        <v>1272</v>
      </c>
      <c r="F8" s="1752"/>
      <c r="G8" s="1752"/>
      <c r="H8" s="1752"/>
      <c r="I8" s="1368"/>
    </row>
    <row r="9" spans="1:12" ht="12.75">
      <c r="A9" s="3592"/>
      <c r="B9" s="3579"/>
      <c r="C9" s="3597"/>
      <c r="D9" s="3615"/>
      <c r="E9" s="130" t="s">
        <v>1273</v>
      </c>
      <c r="F9" s="1752"/>
      <c r="G9" s="1752"/>
      <c r="H9" s="1752"/>
      <c r="I9" s="1368"/>
    </row>
    <row r="10" spans="1:12" ht="12.75">
      <c r="A10" s="3592" t="s">
        <v>1274</v>
      </c>
      <c r="B10" s="3579">
        <v>15</v>
      </c>
      <c r="C10" s="3595"/>
      <c r="D10" s="3615"/>
      <c r="E10" s="130" t="s">
        <v>1275</v>
      </c>
      <c r="F10" s="1752"/>
      <c r="G10" s="1752"/>
      <c r="H10" s="1752"/>
      <c r="I10" s="1368"/>
    </row>
    <row r="11" spans="1:12" ht="12.75">
      <c r="A11" s="3592"/>
      <c r="B11" s="3579"/>
      <c r="C11" s="3597"/>
      <c r="D11" s="3615"/>
      <c r="E11" s="130" t="s">
        <v>1276</v>
      </c>
      <c r="F11" s="1752"/>
      <c r="G11" s="1752"/>
      <c r="H11" s="1752"/>
      <c r="I11" s="1368"/>
    </row>
    <row r="12" spans="1:12" ht="12.75">
      <c r="A12" s="3592" t="s">
        <v>1277</v>
      </c>
      <c r="B12" s="3579">
        <v>15</v>
      </c>
      <c r="C12" s="3595"/>
      <c r="D12" s="3615"/>
      <c r="E12" s="130" t="s">
        <v>1278</v>
      </c>
      <c r="F12" s="1752"/>
      <c r="G12" s="1752"/>
      <c r="H12" s="1752"/>
      <c r="I12" s="1368"/>
    </row>
    <row r="13" spans="1:12" ht="12.75">
      <c r="A13" s="3592"/>
      <c r="B13" s="3579"/>
      <c r="C13" s="3597"/>
      <c r="D13" s="3615"/>
      <c r="E13" s="130" t="s">
        <v>1279</v>
      </c>
      <c r="F13" s="1752"/>
      <c r="G13" s="1752"/>
      <c r="H13" s="1752"/>
      <c r="I13" s="1368"/>
    </row>
    <row r="14" spans="1:12" ht="12.75">
      <c r="A14" s="3592" t="s">
        <v>1280</v>
      </c>
      <c r="B14" s="3579">
        <v>30</v>
      </c>
      <c r="C14" s="3595">
        <v>5</v>
      </c>
      <c r="D14" s="3615">
        <v>5</v>
      </c>
      <c r="E14" s="130" t="s">
        <v>1281</v>
      </c>
      <c r="F14" s="1752"/>
      <c r="G14" s="1752"/>
      <c r="H14" s="1752"/>
      <c r="I14" s="1368"/>
    </row>
    <row r="15" spans="1:12" ht="12.75">
      <c r="A15" s="3592"/>
      <c r="B15" s="3579"/>
      <c r="C15" s="3596"/>
      <c r="D15" s="3615"/>
      <c r="E15" s="130" t="s">
        <v>1282</v>
      </c>
      <c r="F15" s="1752"/>
      <c r="G15" s="1752"/>
      <c r="H15" s="1752"/>
      <c r="I15" s="1368"/>
    </row>
    <row r="16" spans="1:12" ht="12.75">
      <c r="A16" s="3592"/>
      <c r="B16" s="3579"/>
      <c r="C16" s="3597"/>
      <c r="D16" s="3615"/>
      <c r="E16" s="130" t="s">
        <v>1283</v>
      </c>
      <c r="F16" s="1752"/>
      <c r="G16" s="1752"/>
      <c r="H16" s="1752"/>
      <c r="I16" s="1368"/>
    </row>
    <row r="17" spans="1:36" ht="15">
      <c r="A17" s="1753" t="s">
        <v>1284</v>
      </c>
      <c r="B17" s="56"/>
      <c r="C17" s="131">
        <f>SUM(C5:C16)</f>
        <v>5</v>
      </c>
      <c r="D17" s="131">
        <f>SUM(D5:D16)</f>
        <v>5</v>
      </c>
      <c r="E17" s="128"/>
      <c r="F17" s="128"/>
      <c r="G17" s="128"/>
      <c r="H17" s="128"/>
      <c r="I17" s="128"/>
      <c r="K17" s="301"/>
      <c r="L17" s="301" t="s">
        <v>1285</v>
      </c>
      <c r="M17" s="301" t="s">
        <v>1286</v>
      </c>
    </row>
    <row r="18" spans="1:36" ht="31.9" customHeight="1" thickBot="1">
      <c r="A18" s="1754" t="s">
        <v>1287</v>
      </c>
      <c r="B18" s="1755"/>
      <c r="C18" s="132">
        <f>ROUND(C17/SUM(C17:D17),2)</f>
        <v>0.5</v>
      </c>
      <c r="D18" s="132">
        <f>1-C18</f>
        <v>0.5</v>
      </c>
      <c r="E18" s="3602" t="s">
        <v>2128</v>
      </c>
      <c r="F18" s="3603"/>
      <c r="G18" s="3603"/>
      <c r="H18" s="3603"/>
      <c r="I18" s="3603"/>
      <c r="K18" s="301" t="s">
        <v>1288</v>
      </c>
      <c r="L18" s="301">
        <f>IF(C1="",'数据-汇总表'!E3,SUMIF(项目类型,C1,'数据-汇总表'!E17:E26)+SUMIF(项目类型,C1,'数据-汇总表'!I17:I26))</f>
        <v>39707.960000000006</v>
      </c>
      <c r="M18" s="301">
        <f>IF(C1="",'数据-汇总表'!E3,SUMIF(项目类型,C1,'数据-汇总表'!E17:E26))</f>
        <v>39707.960000000006</v>
      </c>
    </row>
    <row r="19" spans="1:36" ht="15">
      <c r="A19" s="1756" t="s">
        <v>1289</v>
      </c>
      <c r="B19" s="1757" t="s">
        <v>1290</v>
      </c>
      <c r="C19" s="133">
        <f ca="1">SUMIF(INDIRECT("'"&amp;C4&amp;"'"&amp;"!A:A"),结果表!B19,INDIRECT("'"&amp;C4&amp;"'"&amp;"!B:B"))</f>
        <v>68305</v>
      </c>
      <c r="D19" s="134">
        <f ca="1">SUMIF(INDIRECT("'"&amp;D4&amp;"'"&amp;"!A:A"),结果表!B19,INDIRECT("'"&amp;D4&amp;"'"&amp;"!B:B"))</f>
        <v>60171</v>
      </c>
      <c r="E19" s="1756" t="s">
        <v>1291</v>
      </c>
      <c r="F19" s="1757" t="s">
        <v>1290</v>
      </c>
      <c r="G19" s="135">
        <f ca="1">ROUND(C19*$C$18+D19*$D$18,0)</f>
        <v>64238</v>
      </c>
      <c r="H19" s="1758" t="s">
        <v>1292</v>
      </c>
      <c r="I19" s="128"/>
      <c r="K19" s="301" t="s">
        <v>1293</v>
      </c>
      <c r="L19" s="301">
        <f>IF(C1="",'数据-汇总表'!D3,SUMIF(项目类型,C1,'数据-汇总表'!D17:D26)+SUMIF(项目类型,C1,'数据-汇总表'!H17:H27))</f>
        <v>6294.36</v>
      </c>
      <c r="M19" s="301">
        <f>IF(C1="",'数据-汇总表'!D3,SUMIF(项目类型,C1,'数据-汇总表'!D17:D26))</f>
        <v>6294.36</v>
      </c>
    </row>
    <row r="20" spans="1:36" ht="15">
      <c r="A20" s="1759"/>
      <c r="B20" s="1022" t="s">
        <v>1294</v>
      </c>
      <c r="C20" s="136">
        <f ca="1">SUMIF(INDIRECT("'"&amp;C4&amp;"'"&amp;"!A:A"),结果表!B20,INDIRECT("'"&amp;C4&amp;"'"&amp;"!B:B"))</f>
        <v>17202</v>
      </c>
      <c r="D20" s="137">
        <f ca="1">SUMIF(INDIRECT("'"&amp;D4&amp;"'"&amp;"!A:A"),结果表!B20,INDIRECT("'"&amp;D4&amp;"'"&amp;"!B:B"))</f>
        <v>15153</v>
      </c>
      <c r="E20" s="1759"/>
      <c r="F20" s="1022" t="s">
        <v>1294</v>
      </c>
      <c r="G20" s="138">
        <f ca="1">ROUND(C20*$C$18+D20*$D$18,0)</f>
        <v>16178</v>
      </c>
      <c r="H20" s="806" t="s">
        <v>1295</v>
      </c>
      <c r="I20" s="128"/>
    </row>
    <row r="21" spans="1:36" ht="15" customHeight="1" thickBot="1">
      <c r="A21" s="826"/>
      <c r="B21" s="1760" t="s">
        <v>1296</v>
      </c>
      <c r="C21" s="717">
        <f ca="1">ROUND(C19*10000/L19,0)</f>
        <v>108518</v>
      </c>
      <c r="D21" s="718">
        <f ca="1">ROUND(D19*10000/L19,0)</f>
        <v>95595</v>
      </c>
      <c r="E21" s="826"/>
      <c r="F21" s="1760" t="s">
        <v>1296</v>
      </c>
      <c r="G21" s="139">
        <f ca="1">ROUND(G19*10000/L19,0)</f>
        <v>102056</v>
      </c>
      <c r="H21" s="1761" t="s">
        <v>1295</v>
      </c>
      <c r="I21" s="128"/>
    </row>
    <row r="22" spans="1:36" ht="15" thickBot="1">
      <c r="A22" s="1683" t="s">
        <v>1297</v>
      </c>
      <c r="B22" s="1762"/>
      <c r="C22" s="1763"/>
      <c r="D22" s="719">
        <f ca="1">IF(C19&lt;D19,D19/C19-1,C19/D19-1)</f>
        <v>0.13518139967758547</v>
      </c>
      <c r="E22" s="128"/>
      <c r="F22" s="128"/>
      <c r="G22" s="128"/>
      <c r="H22" s="128"/>
      <c r="I22" s="128"/>
    </row>
    <row r="23" spans="1:36" ht="13.5" thickBot="1">
      <c r="A23" s="1742"/>
      <c r="B23" s="1742"/>
      <c r="C23" s="1742"/>
      <c r="D23" s="1742"/>
      <c r="E23" s="128"/>
      <c r="F23" s="128"/>
      <c r="G23" s="128"/>
      <c r="H23" s="128"/>
      <c r="I23" s="128"/>
    </row>
    <row r="24" spans="1:36" ht="14.25">
      <c r="A24" s="3586" t="s">
        <v>1298</v>
      </c>
      <c r="B24" s="1757" t="s">
        <v>1290</v>
      </c>
      <c r="C24" s="135">
        <f>IF(B30=0,0,D30)</f>
        <v>0</v>
      </c>
      <c r="D24" s="1764"/>
      <c r="E24" s="128"/>
      <c r="F24" s="128"/>
      <c r="G24" s="128"/>
      <c r="H24" s="128"/>
      <c r="I24" s="128"/>
    </row>
    <row r="25" spans="1:36" ht="14.25">
      <c r="A25" s="3587"/>
      <c r="B25" s="1022" t="s">
        <v>1294</v>
      </c>
      <c r="C25" s="140">
        <f>IF(B30=0,0,C30)</f>
        <v>0</v>
      </c>
      <c r="D25" s="1765"/>
      <c r="E25" s="128"/>
      <c r="F25" s="128"/>
      <c r="G25" s="128"/>
      <c r="H25" s="128"/>
      <c r="I25" s="128"/>
    </row>
    <row r="26" spans="1:36" ht="13.5" customHeight="1">
      <c r="A26" s="1766" t="s">
        <v>1299</v>
      </c>
      <c r="B26" s="141" t="s">
        <v>1300</v>
      </c>
      <c r="C26" s="141" t="s">
        <v>1301</v>
      </c>
      <c r="D26" s="142" t="s">
        <v>1302</v>
      </c>
      <c r="E26" s="128"/>
      <c r="F26" s="128"/>
      <c r="G26" s="128"/>
      <c r="H26" s="128"/>
      <c r="I26" s="128"/>
    </row>
    <row r="27" spans="1:36" ht="14.25">
      <c r="A27" s="1766"/>
      <c r="B27" s="141">
        <v>0</v>
      </c>
      <c r="C27" s="141">
        <v>0</v>
      </c>
      <c r="D27" s="142">
        <f>ROUND(C27*B27/10000,0)</f>
        <v>0</v>
      </c>
      <c r="E27" s="128"/>
      <c r="F27" s="128"/>
      <c r="G27" s="128"/>
      <c r="H27" s="128"/>
      <c r="I27" s="128"/>
    </row>
    <row r="28" spans="1:36" ht="14.25">
      <c r="A28" s="1766"/>
      <c r="B28" s="141"/>
      <c r="C28" s="141"/>
      <c r="D28" s="142"/>
      <c r="E28" s="128"/>
      <c r="F28" s="128"/>
      <c r="G28" s="128"/>
      <c r="H28" s="128"/>
      <c r="I28" s="128"/>
    </row>
    <row r="29" spans="1:36" ht="14.25">
      <c r="A29" s="1766"/>
      <c r="B29" s="141"/>
      <c r="C29" s="141"/>
      <c r="D29" s="142"/>
      <c r="E29" s="128"/>
      <c r="F29" s="128"/>
      <c r="G29" s="128"/>
      <c r="H29" s="128"/>
      <c r="I29" s="128"/>
    </row>
    <row r="30" spans="1:36" ht="15" thickBot="1">
      <c r="A30" s="141" t="s">
        <v>1303</v>
      </c>
      <c r="B30" s="141"/>
      <c r="C30" s="141"/>
      <c r="D30" s="141"/>
      <c r="E30" s="2298" t="s">
        <v>2129</v>
      </c>
      <c r="F30" s="128"/>
      <c r="G30" s="128"/>
      <c r="H30" s="128"/>
      <c r="I30" s="128"/>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1304</v>
      </c>
      <c r="B32" s="1769"/>
      <c r="C32" s="143">
        <f ca="1">IF(D32="总价",G19-C24,G20-C25)</f>
        <v>64238</v>
      </c>
      <c r="D32" s="1770" t="s">
        <v>3602</v>
      </c>
      <c r="E32" s="128"/>
      <c r="F32" s="128"/>
      <c r="G32" s="128"/>
      <c r="H32" s="128"/>
      <c r="I32" s="128"/>
    </row>
    <row r="33" spans="1:15" ht="15">
      <c r="A33" s="784" t="s">
        <v>1305</v>
      </c>
      <c r="B33" s="1771"/>
      <c r="C33" s="1772" t="s">
        <v>3608</v>
      </c>
      <c r="D33" s="1773" t="s">
        <v>3425</v>
      </c>
      <c r="E33" s="1774" t="s">
        <v>1306</v>
      </c>
      <c r="F33" s="1775" t="str">
        <f>IF(D32="楼面单价","取值（单价）","取值（总价）")</f>
        <v>取值（总价）</v>
      </c>
      <c r="G33" s="128"/>
      <c r="H33" s="128"/>
      <c r="I33" s="128"/>
    </row>
    <row r="34" spans="1:15" ht="15">
      <c r="A34" s="1776"/>
      <c r="B34" s="1777" t="s">
        <v>1307</v>
      </c>
      <c r="C34" s="147">
        <f ca="1">IF(C33="自定义",F34,C32-C35)</f>
        <v>43958</v>
      </c>
      <c r="D34" s="859">
        <f ca="1">IF(C33="自定义",ROUND(C34/C32,3),IF(C33="收益比率",SUMIF(INDIRECT("'"&amp;D33&amp;"'"&amp;"!b:b"),"土地收益比率",INDIRECT("'"&amp;D33&amp;"'"&amp;"!c:c")),SUMIF(INDIRECT("'"&amp;D33&amp;"'"&amp;"!b:b"),"土地成本比率",INDIRECT("'"&amp;D33&amp;"'"&amp;"!c:c"))))</f>
        <v>0.68400000000000005</v>
      </c>
      <c r="E34" s="1778" t="s">
        <v>1308</v>
      </c>
      <c r="F34" s="1325">
        <f ca="1">G19-F35</f>
        <v>43958</v>
      </c>
      <c r="G34" s="128"/>
      <c r="H34" s="128"/>
      <c r="I34" s="128"/>
    </row>
    <row r="35" spans="1:15" ht="15.75" thickBot="1">
      <c r="A35" s="1779"/>
      <c r="B35" s="1780" t="s">
        <v>1309</v>
      </c>
      <c r="C35" s="1166">
        <f ca="1">IF(C33="自定义",F35,ROUND(C32*D35,0))</f>
        <v>20280</v>
      </c>
      <c r="D35" s="1167">
        <f ca="1">IF(C33="自定义",ROUND(C35/C32,3),IF(C33="收益比率",SUMIF(INDIRECT("'"&amp;D33&amp;"'"&amp;"!b:b"),"建筑物收益比率",INDIRECT("'"&amp;D33&amp;"'"&amp;"!c:c")),SUMIF(INDIRECT("'"&amp;D33&amp;"'"&amp;"!b:b"),"建筑物成本比率",INDIRECT("'"&amp;D33&amp;"'"&amp;"!c:c"))))</f>
        <v>0.316</v>
      </c>
      <c r="E35" s="1781" t="s">
        <v>1310</v>
      </c>
      <c r="F35" s="153">
        <f ca="1">ROUND(成本法!C33*成本法!F50,0)</f>
        <v>20280</v>
      </c>
      <c r="G35" s="128"/>
      <c r="H35" s="128"/>
      <c r="I35" s="128"/>
    </row>
    <row r="36" spans="1:15" ht="15.75" thickBot="1">
      <c r="A36" s="3606" t="s">
        <v>1311</v>
      </c>
      <c r="B36" s="1782" t="s">
        <v>1312</v>
      </c>
      <c r="C36" s="144"/>
      <c r="D36" s="1783"/>
      <c r="E36" s="1784"/>
      <c r="F36" s="1785"/>
      <c r="G36" s="128"/>
      <c r="H36" s="128"/>
      <c r="I36" s="128"/>
    </row>
    <row r="37" spans="1:15" ht="15.75" thickBot="1">
      <c r="A37" s="3607"/>
      <c r="B37" s="1669" t="s">
        <v>1313</v>
      </c>
      <c r="C37" s="146"/>
      <c r="D37" s="1135"/>
      <c r="E37" s="1135"/>
      <c r="F37" s="1785"/>
      <c r="G37" s="128"/>
      <c r="H37" s="128"/>
      <c r="I37" s="128"/>
    </row>
    <row r="38" spans="1:15" ht="15.75" thickBot="1">
      <c r="A38" s="3608"/>
      <c r="B38" s="1786" t="s">
        <v>1314</v>
      </c>
      <c r="C38" s="672"/>
      <c r="D38" s="1787" t="s">
        <v>1315</v>
      </c>
      <c r="E38" s="1135"/>
      <c r="F38" s="1785"/>
      <c r="G38" s="128"/>
      <c r="H38" s="128"/>
      <c r="I38" s="128"/>
    </row>
    <row r="39" spans="1:15" ht="15">
      <c r="A39" s="1759" t="s">
        <v>1316</v>
      </c>
      <c r="B39" s="1788" t="s">
        <v>1317</v>
      </c>
      <c r="C39" s="1789" t="s">
        <v>1318</v>
      </c>
      <c r="D39" s="1789" t="s">
        <v>1319</v>
      </c>
      <c r="E39" s="1790" t="s">
        <v>1320</v>
      </c>
      <c r="F39" s="1785"/>
      <c r="G39" s="128"/>
      <c r="H39" s="128"/>
      <c r="I39" s="128"/>
    </row>
    <row r="40" spans="1:15" ht="14.25">
      <c r="A40" s="1791" t="s">
        <v>1321</v>
      </c>
      <c r="B40" s="148"/>
      <c r="C40" s="149"/>
      <c r="D40" s="149"/>
      <c r="E40" s="150"/>
      <c r="F40" s="1785"/>
      <c r="G40" s="128"/>
      <c r="H40" s="128"/>
      <c r="I40" s="128"/>
    </row>
    <row r="41" spans="1:15" ht="14.25">
      <c r="A41" s="1791" t="s">
        <v>1322</v>
      </c>
      <c r="B41" s="148"/>
      <c r="C41" s="149"/>
      <c r="D41" s="149"/>
      <c r="E41" s="150"/>
      <c r="F41" s="1785"/>
      <c r="G41" s="128"/>
      <c r="H41" s="128"/>
      <c r="I41" s="128"/>
    </row>
    <row r="42" spans="1:15" ht="15" thickBot="1">
      <c r="A42" s="1792"/>
      <c r="B42" s="151"/>
      <c r="C42" s="152"/>
      <c r="D42" s="152"/>
      <c r="E42" s="153"/>
      <c r="F42" s="1785"/>
      <c r="G42" s="128"/>
      <c r="H42" s="128"/>
      <c r="I42" s="128"/>
    </row>
    <row r="43" spans="1:15" ht="12.75">
      <c r="A43" s="1572"/>
      <c r="B43" s="1572"/>
      <c r="C43" s="1572"/>
      <c r="D43" s="1572"/>
      <c r="E43" s="1572"/>
      <c r="F43" s="1793"/>
      <c r="G43" s="1793"/>
      <c r="H43" s="1793"/>
      <c r="I43" s="1794"/>
    </row>
    <row r="44" spans="1:15" ht="18.75">
      <c r="A44" s="1795" t="s">
        <v>1323</v>
      </c>
      <c r="B44" s="1796"/>
      <c r="C44" s="1796"/>
      <c r="D44" s="1797"/>
      <c r="E44" s="1797"/>
      <c r="F44" s="1798"/>
      <c r="G44" s="1798"/>
      <c r="H44" s="1798"/>
      <c r="I44" s="1798"/>
      <c r="J44" s="1799" t="s">
        <v>1324</v>
      </c>
      <c r="K44" s="1800"/>
      <c r="L44" s="1800"/>
      <c r="M44" s="1800"/>
      <c r="N44" s="1800"/>
      <c r="O44" s="1800"/>
    </row>
    <row r="45" spans="1:15" ht="14.25" customHeight="1" thickBot="1">
      <c r="A45" s="3583" t="s">
        <v>1325</v>
      </c>
      <c r="B45" s="3584"/>
      <c r="C45" s="3585"/>
      <c r="D45" s="154">
        <f ca="1">ROUND(H101*F45,0)</f>
        <v>64238</v>
      </c>
      <c r="E45" s="155" t="s">
        <v>1326</v>
      </c>
      <c r="F45" s="156">
        <v>1</v>
      </c>
      <c r="G45" s="157" t="s">
        <v>1327</v>
      </c>
      <c r="H45" s="128"/>
      <c r="I45" s="128"/>
      <c r="J45" s="3661" t="s">
        <v>1328</v>
      </c>
      <c r="K45" s="3661"/>
      <c r="L45" s="3661"/>
      <c r="M45" s="3661"/>
      <c r="N45" s="3661"/>
      <c r="O45" s="3661"/>
    </row>
    <row r="46" spans="1:15" ht="14.25" customHeight="1">
      <c r="A46" s="3580" t="s">
        <v>1329</v>
      </c>
      <c r="B46" s="3581"/>
      <c r="C46" s="3581"/>
      <c r="D46" s="3581"/>
      <c r="E46" s="3581"/>
      <c r="F46" s="3581"/>
      <c r="G46" s="3582"/>
      <c r="H46" s="1801"/>
      <c r="I46" s="158"/>
      <c r="J46" s="2518">
        <v>1</v>
      </c>
      <c r="K46" s="3642" t="s">
        <v>1330</v>
      </c>
      <c r="L46" s="3642"/>
      <c r="M46" s="3662"/>
      <c r="N46" s="3662"/>
      <c r="O46" s="3662"/>
    </row>
    <row r="47" spans="1:15" ht="12" customHeight="1">
      <c r="A47" s="159" t="s">
        <v>1331</v>
      </c>
      <c r="B47" s="160"/>
      <c r="C47" s="161"/>
      <c r="D47" s="1083" t="s">
        <v>1332</v>
      </c>
      <c r="E47" s="301" t="s">
        <v>1333</v>
      </c>
      <c r="F47" s="162" t="s">
        <v>1334</v>
      </c>
      <c r="G47" s="2541" t="s">
        <v>1335</v>
      </c>
      <c r="H47" s="2542"/>
      <c r="I47" s="158"/>
      <c r="J47" s="2518">
        <v>2</v>
      </c>
      <c r="K47" s="3642" t="s">
        <v>1336</v>
      </c>
      <c r="L47" s="3642"/>
      <c r="M47" s="3663">
        <f>'数据-取费表'!B2</f>
        <v>45322</v>
      </c>
      <c r="N47" s="3663"/>
      <c r="O47" s="3663"/>
    </row>
    <row r="48" spans="1:15" ht="25.5">
      <c r="A48" s="3611" t="s">
        <v>1337</v>
      </c>
      <c r="B48" s="3594"/>
      <c r="C48" s="3594"/>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1338</v>
      </c>
      <c r="H48" s="2545"/>
      <c r="I48" s="1801"/>
      <c r="J48" s="2518">
        <v>3</v>
      </c>
      <c r="K48" s="3642" t="s">
        <v>1339</v>
      </c>
      <c r="L48" s="3642"/>
      <c r="M48" s="3664">
        <f ca="1">H101</f>
        <v>64238</v>
      </c>
      <c r="N48" s="3664"/>
      <c r="O48" s="3664"/>
    </row>
    <row r="49" spans="1:35" ht="25.5" customHeight="1">
      <c r="A49" s="2328" t="s">
        <v>1340</v>
      </c>
      <c r="B49" s="3578" t="s">
        <v>1341</v>
      </c>
      <c r="C49" s="3578"/>
      <c r="D49" s="1585">
        <v>0</v>
      </c>
      <c r="E49" s="323" t="s">
        <v>1342</v>
      </c>
      <c r="F49" s="2419" t="s">
        <v>28</v>
      </c>
      <c r="G49" s="3648"/>
      <c r="H49" s="2305" t="s">
        <v>2131</v>
      </c>
      <c r="I49" s="2306"/>
      <c r="J49" s="2518">
        <v>4</v>
      </c>
      <c r="K49" s="3642" t="str">
        <f>IF(项目基本情况!E8="房地产抵押价值","房地产抵押价值","抵押担保权已注销时的房地产抵押价值")</f>
        <v>抵押担保权已注销时的房地产抵押价值</v>
      </c>
      <c r="L49" s="3642"/>
      <c r="M49" s="3664" t="str">
        <f>IF(项目基本情况!E8="房地产抵押价值",H107,H109)</f>
        <v>——</v>
      </c>
      <c r="N49" s="3664"/>
      <c r="O49" s="3664"/>
    </row>
    <row r="50" spans="1:35" ht="25.5" customHeight="1">
      <c r="A50" s="2546"/>
      <c r="B50" s="3578" t="s">
        <v>1343</v>
      </c>
      <c r="C50" s="3578"/>
      <c r="D50" s="2547"/>
      <c r="E50" s="331"/>
      <c r="F50" s="2419"/>
      <c r="G50" s="3649"/>
      <c r="H50" s="2307" t="s">
        <v>2132</v>
      </c>
      <c r="I50" s="2306"/>
      <c r="J50" s="3661" t="s">
        <v>1344</v>
      </c>
      <c r="K50" s="3661"/>
      <c r="L50" s="3661"/>
      <c r="M50" s="3661"/>
      <c r="N50" s="3661"/>
      <c r="O50" s="3661"/>
    </row>
    <row r="51" spans="1:35" ht="20.45" customHeight="1">
      <c r="A51" s="2548"/>
      <c r="B51" s="3578" t="s">
        <v>1345</v>
      </c>
      <c r="C51" s="3578"/>
      <c r="D51" s="1083"/>
      <c r="E51" s="326"/>
      <c r="F51" s="2419"/>
      <c r="G51" s="3650"/>
      <c r="H51" s="2307" t="s">
        <v>2133</v>
      </c>
      <c r="I51" s="2306"/>
      <c r="J51" s="2519" t="s">
        <v>1346</v>
      </c>
      <c r="K51" s="3642" t="s">
        <v>1347</v>
      </c>
      <c r="L51" s="3642"/>
      <c r="M51" s="2519" t="s">
        <v>1348</v>
      </c>
      <c r="N51" s="2519" t="s">
        <v>1349</v>
      </c>
      <c r="O51" s="2519" t="s">
        <v>1350</v>
      </c>
    </row>
    <row r="52" spans="1:35" ht="24" customHeight="1">
      <c r="A52" s="2330" t="s">
        <v>1351</v>
      </c>
      <c r="B52" s="3578" t="s">
        <v>1352</v>
      </c>
      <c r="C52" s="3578"/>
      <c r="D52" s="1083">
        <f ca="1">ROUND(D45*'数据-取费表'!B41/(1+'数据-取费表'!C42),0)</f>
        <v>3426</v>
      </c>
      <c r="E52" s="2329" t="s">
        <v>1353</v>
      </c>
      <c r="F52" s="2549">
        <f>'数据-取费表'!B41</f>
        <v>5.6000000000000001E-2</v>
      </c>
      <c r="G52" s="2550"/>
      <c r="H52" s="2539"/>
      <c r="I52" s="1802"/>
      <c r="J52" s="2518">
        <v>1</v>
      </c>
      <c r="K52" s="3643" t="s">
        <v>1354</v>
      </c>
      <c r="L52" s="3643"/>
      <c r="M52" s="2520" t="b">
        <f>D48</f>
        <v>0</v>
      </c>
      <c r="N52" s="2518" t="str">
        <f>E48</f>
        <v>销售额×税（费）率</v>
      </c>
      <c r="O52" s="2521">
        <f>F48</f>
        <v>5.6000000000000001E-2</v>
      </c>
    </row>
    <row r="53" spans="1:35" ht="12" customHeight="1">
      <c r="A53" s="2330" t="s">
        <v>1355</v>
      </c>
      <c r="B53" s="3604" t="s">
        <v>2288</v>
      </c>
      <c r="C53" s="3605"/>
      <c r="D53" s="1083">
        <f ca="1">ROUND(D45*'数据-取费表'!B41/(1+'数据-取费表'!C42),0)</f>
        <v>3426</v>
      </c>
      <c r="E53" s="2329" t="s">
        <v>1353</v>
      </c>
      <c r="F53" s="2549">
        <f>'数据-取费表'!B41</f>
        <v>5.6000000000000001E-2</v>
      </c>
      <c r="G53" s="2550"/>
      <c r="H53" s="2539"/>
      <c r="I53" s="1802"/>
      <c r="J53" s="2518">
        <v>2</v>
      </c>
      <c r="K53" s="3643" t="s">
        <v>1356</v>
      </c>
      <c r="L53" s="3643"/>
      <c r="M53" s="2520">
        <f t="shared" ref="M53:O54" ca="1" si="0">D55</f>
        <v>32</v>
      </c>
      <c r="N53" s="2518" t="str">
        <f t="shared" si="0"/>
        <v>销售额×税（费）率</v>
      </c>
      <c r="O53" s="2521" t="str">
        <f t="shared" si="0"/>
        <v>免征</v>
      </c>
    </row>
    <row r="54" spans="1:35" ht="12" customHeight="1">
      <c r="A54" s="2330" t="s">
        <v>1357</v>
      </c>
      <c r="B54" s="3604" t="s">
        <v>2289</v>
      </c>
      <c r="C54" s="3605"/>
      <c r="D54" s="1083">
        <f ca="1">C68</f>
        <v>3426</v>
      </c>
      <c r="E54" s="326" t="s">
        <v>1358</v>
      </c>
      <c r="F54" s="2549">
        <f>'数据-取费表'!B41</f>
        <v>5.6000000000000001E-2</v>
      </c>
      <c r="G54" s="2550"/>
      <c r="H54" s="2551"/>
      <c r="I54" s="1802"/>
      <c r="J54" s="2518">
        <v>3</v>
      </c>
      <c r="K54" s="3643" t="s">
        <v>1359</v>
      </c>
      <c r="L54" s="3643"/>
      <c r="M54" s="2520">
        <f t="shared" ca="1" si="0"/>
        <v>36359</v>
      </c>
      <c r="N54" s="2518" t="str">
        <f t="shared" si="0"/>
        <v>增值额×税（费）率</v>
      </c>
      <c r="O54" s="2522" t="str">
        <f t="shared" si="0"/>
        <v>免征</v>
      </c>
    </row>
    <row r="55" spans="1:35" ht="24" customHeight="1">
      <c r="A55" s="3593" t="s">
        <v>1360</v>
      </c>
      <c r="B55" s="3594"/>
      <c r="C55" s="3594"/>
      <c r="D55" s="2319">
        <f ca="1">IF(H55="个人住宅",0,ROUND(D45*I55,0))</f>
        <v>32</v>
      </c>
      <c r="E55" s="2329" t="s">
        <v>1361</v>
      </c>
      <c r="F55" s="2549" t="str">
        <f>IF(H55="正常",I55,"免征")</f>
        <v>免征</v>
      </c>
      <c r="G55" s="2550"/>
      <c r="H55" s="2545"/>
      <c r="I55" s="164">
        <f>'数据-取费表'!B49</f>
        <v>5.0000000000000001E-4</v>
      </c>
      <c r="J55" s="2518">
        <f>IF(H59="非个人房产","",4)</f>
        <v>4</v>
      </c>
      <c r="K55" s="3643" t="str">
        <f>IF(H59="非个人房产","——","个人所得税")</f>
        <v>个人所得税</v>
      </c>
      <c r="L55" s="3643"/>
      <c r="M55" s="2523">
        <f ca="1">D59</f>
        <v>612</v>
      </c>
      <c r="N55" s="2035" t="str">
        <f>E59</f>
        <v>差额计税</v>
      </c>
      <c r="O55" s="2524">
        <f>F59</f>
        <v>0.01</v>
      </c>
    </row>
    <row r="56" spans="1:35" ht="24.75">
      <c r="A56" s="3593" t="s">
        <v>1362</v>
      </c>
      <c r="B56" s="3594"/>
      <c r="C56" s="3594"/>
      <c r="D56" s="2319">
        <f ca="1">IF(H56="个人住宅",D57,D58)</f>
        <v>36359</v>
      </c>
      <c r="E56" s="2329" t="s">
        <v>1363</v>
      </c>
      <c r="F56" s="2549" t="str">
        <f>IF(H56="正常",F58,"免征")</f>
        <v>免征</v>
      </c>
      <c r="G56" s="2552" t="s">
        <v>1364</v>
      </c>
      <c r="H56" s="2553"/>
      <c r="I56" s="1803"/>
      <c r="J56" s="2518" t="str">
        <f>IF(项目基本情况!K6="上海银行",IF(J55="",4,J55+1),"")</f>
        <v/>
      </c>
      <c r="K56" s="3666" t="str">
        <f>IF(项目基本情况!K6="上海银行","其他处置费用","")</f>
        <v/>
      </c>
      <c r="L56" s="3667"/>
      <c r="M56" s="2520" t="str">
        <f>IF(项目基本情况!K6="上海银行",M69,"")</f>
        <v/>
      </c>
      <c r="N56" s="3666" t="str">
        <f>IF(项目基本情况!K6="上海银行","包含处置中涉及的律师、诉讼、拍卖、评估等费用","")</f>
        <v/>
      </c>
      <c r="O56" s="3669"/>
    </row>
    <row r="57" spans="1:35" ht="12.75">
      <c r="A57" s="2330" t="s">
        <v>1340</v>
      </c>
      <c r="B57" s="3604" t="s">
        <v>1365</v>
      </c>
      <c r="C57" s="3605"/>
      <c r="D57" s="1585">
        <v>0</v>
      </c>
      <c r="E57" s="323" t="s">
        <v>1342</v>
      </c>
      <c r="F57" s="301"/>
      <c r="G57" s="2550"/>
      <c r="H57" s="2554"/>
      <c r="I57" s="1803"/>
      <c r="J57" s="3643">
        <f>IF(AND(J55="",J56=""),4,IF(项目基本情况!K6="上海银行",结果表!J56+1,结果表!J55+1))</f>
        <v>5</v>
      </c>
      <c r="K57" s="3643" t="s">
        <v>1366</v>
      </c>
      <c r="L57" s="2525" t="s">
        <v>1367</v>
      </c>
      <c r="M57" s="2526"/>
      <c r="N57" s="2527">
        <f ca="1">SUMIF(M52:M56,"&lt;9e307")</f>
        <v>37003</v>
      </c>
      <c r="O57" s="2528"/>
      <c r="P57" s="2685" t="e">
        <f ca="1">N57/M49</f>
        <v>#VALUE!</v>
      </c>
    </row>
    <row r="58" spans="1:35" ht="24.75">
      <c r="A58" s="2330" t="s">
        <v>1351</v>
      </c>
      <c r="B58" s="3604" t="s">
        <v>1368</v>
      </c>
      <c r="C58" s="3578"/>
      <c r="D58" s="2319">
        <f ca="1">IF(H58="转让取得",C81,C97)</f>
        <v>36359</v>
      </c>
      <c r="E58" s="2329" t="s">
        <v>1363</v>
      </c>
      <c r="F58" s="301" t="s">
        <v>28</v>
      </c>
      <c r="G58" s="2550"/>
      <c r="H58" s="2553"/>
      <c r="I58" s="1803"/>
      <c r="J58" s="3643"/>
      <c r="K58" s="3643"/>
      <c r="L58" s="2525" t="s">
        <v>1369</v>
      </c>
      <c r="M58" s="2529"/>
      <c r="N58" s="2530" t="str">
        <f ca="1">NUMBERSTRING(INT(N57*10000),2)&amp;"元整"</f>
        <v>叁亿柒仟零叁万元整</v>
      </c>
      <c r="O58" s="2531"/>
    </row>
    <row r="59" spans="1:35" ht="24.75" thickBot="1">
      <c r="A59" s="3646" t="s">
        <v>1370</v>
      </c>
      <c r="B59" s="3647"/>
      <c r="C59" s="3647"/>
      <c r="D59" s="2555">
        <f ca="1">IF(H59="非个人房产","——",IF(H59="个人住宅（满五唯一有凭证）",0,IF(H59="个人其他（无凭证）",ROUND(D45*F59,0),ROUND(C67*F59,0))))</f>
        <v>612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09"/>
      <c r="I59" s="2308" t="s">
        <v>2134</v>
      </c>
      <c r="J59" s="3644">
        <f>J57+1</f>
        <v>6</v>
      </c>
      <c r="K59" s="3643" t="s">
        <v>1371</v>
      </c>
      <c r="L59" s="2518" t="s">
        <v>1367</v>
      </c>
      <c r="M59" s="2532"/>
      <c r="N59" s="2533" t="e">
        <f ca="1">M49-N57</f>
        <v>#VALUE!</v>
      </c>
      <c r="O59" s="2534"/>
    </row>
    <row r="60" spans="1:35" ht="12" customHeight="1">
      <c r="A60" s="1804"/>
      <c r="B60" s="1742"/>
      <c r="C60" s="1742"/>
      <c r="D60" s="1742"/>
      <c r="E60" s="1573"/>
      <c r="F60" s="1803"/>
      <c r="G60" s="1803"/>
      <c r="H60" s="1805"/>
      <c r="I60" s="128"/>
      <c r="J60" s="3645"/>
      <c r="K60" s="3643"/>
      <c r="L60" s="2525" t="s">
        <v>1369</v>
      </c>
      <c r="M60" s="2529"/>
      <c r="N60" s="2530" t="e">
        <f ca="1">NUMBERSTRING(INT(N59*10000),2)&amp;"元整"</f>
        <v>#VALUE!</v>
      </c>
      <c r="O60" s="2531"/>
    </row>
    <row r="61" spans="1:35" ht="13.5" thickBot="1">
      <c r="A61" s="3591" t="s">
        <v>1372</v>
      </c>
      <c r="B61" s="3591"/>
      <c r="C61" s="3591"/>
      <c r="D61" s="3591"/>
      <c r="E61" s="3591"/>
      <c r="F61" s="1803"/>
      <c r="G61" s="1803"/>
      <c r="H61" s="1805"/>
      <c r="I61" s="128"/>
      <c r="J61" s="2518">
        <f>J59+1</f>
        <v>7</v>
      </c>
      <c r="K61" s="3643" t="s">
        <v>1373</v>
      </c>
      <c r="L61" s="3643"/>
      <c r="M61" s="2535"/>
      <c r="N61" s="2536" t="e">
        <f ca="1">ROUND(N59*10000/'数据-汇总表'!E3,0)</f>
        <v>#VALUE!</v>
      </c>
      <c r="O61" s="2537"/>
    </row>
    <row r="62" spans="1:35" ht="12.75">
      <c r="A62" s="3609" t="s">
        <v>1374</v>
      </c>
      <c r="B62" s="3610"/>
      <c r="C62" s="2016"/>
      <c r="D62" s="2016" t="s">
        <v>1375</v>
      </c>
      <c r="E62" s="165" t="s">
        <v>1376</v>
      </c>
      <c r="F62" s="1803"/>
      <c r="G62" s="1803"/>
      <c r="H62" s="1805"/>
      <c r="I62" s="128"/>
    </row>
    <row r="63" spans="1:35" ht="12.75">
      <c r="A63" s="172" t="s">
        <v>330</v>
      </c>
      <c r="B63" s="166" t="s">
        <v>1377</v>
      </c>
      <c r="C63" s="2559">
        <f ca="1">ROUND((C64+C65)/(1+'数据-取费表'!C42),0)</f>
        <v>61179</v>
      </c>
      <c r="D63" s="166"/>
      <c r="E63" s="167"/>
      <c r="F63" s="1803"/>
      <c r="G63" s="1803"/>
      <c r="H63" s="1805"/>
      <c r="I63" s="128"/>
      <c r="J63" s="3668" t="s">
        <v>1378</v>
      </c>
      <c r="K63" s="1327" t="s">
        <v>1379</v>
      </c>
      <c r="L63" s="1327" t="e">
        <f>IF(M49&gt;10000,M49*0.5%,IF(AND(M49&gt;1000,M49&lt;=10000),M49*1%,IF(AND(M49&gt;100,M49&lt;=1000),M49*3%,IF(AND(M49&gt;10,M49&lt;=100),M49*5%,M49*8%))))</f>
        <v>#VALUE!</v>
      </c>
      <c r="M63" s="301" t="e">
        <f>ROUND(L63,1)</f>
        <v>#VALUE!</v>
      </c>
      <c r="N63" s="2538"/>
      <c r="Z63" s="1747"/>
      <c r="AI63" s="1748"/>
    </row>
    <row r="64" spans="1:35" ht="14.25" customHeight="1">
      <c r="A64" s="168" t="s">
        <v>325</v>
      </c>
      <c r="B64" s="169" t="s">
        <v>1380</v>
      </c>
      <c r="C64" s="2560">
        <f ca="1">D45</f>
        <v>64238</v>
      </c>
      <c r="D64" s="169" t="s">
        <v>26</v>
      </c>
      <c r="E64" s="171"/>
      <c r="F64" s="1803"/>
      <c r="G64" s="1803"/>
      <c r="H64" s="1805"/>
      <c r="I64" s="128"/>
      <c r="J64" s="3668"/>
      <c r="K64" s="1327" t="s">
        <v>1381</v>
      </c>
      <c r="L64" s="1327"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9" t="s">
        <v>1382</v>
      </c>
      <c r="Z64" s="1747"/>
      <c r="AI64" s="1748"/>
    </row>
    <row r="65" spans="1:35" ht="14.25" customHeight="1">
      <c r="A65" s="168" t="s">
        <v>326</v>
      </c>
      <c r="B65" s="169" t="s">
        <v>1383</v>
      </c>
      <c r="C65" s="2561"/>
      <c r="D65" s="169"/>
      <c r="E65" s="171"/>
      <c r="F65" s="1803"/>
      <c r="G65" s="1803"/>
      <c r="H65" s="1805"/>
      <c r="I65" s="128"/>
      <c r="J65" s="3668"/>
      <c r="K65" s="1327" t="s">
        <v>1384</v>
      </c>
      <c r="L65" s="1327" t="e">
        <f>IF(M49&gt;1000,M49*0.1%,IF(AND(M49&gt;500,M49&lt;=1000),M49*0.5%,IF(AND(M49&gt;50,M49&lt;=500),M49*1%,IF(AND(M49&gt;1,M49&lt;=50),M49*1.5%))))</f>
        <v>#VALUE!</v>
      </c>
      <c r="M65" s="301" t="e">
        <f t="shared" si="1"/>
        <v>#VALUE!</v>
      </c>
      <c r="N65" s="2539" t="s">
        <v>1382</v>
      </c>
      <c r="Z65" s="1747"/>
      <c r="AI65" s="1748"/>
    </row>
    <row r="66" spans="1:35" ht="14.25" customHeight="1">
      <c r="A66" s="172" t="s">
        <v>327</v>
      </c>
      <c r="B66" s="173" t="s">
        <v>1385</v>
      </c>
      <c r="C66" s="2562"/>
      <c r="D66" s="173" t="s">
        <v>26</v>
      </c>
      <c r="E66" s="1333" t="s">
        <v>671</v>
      </c>
      <c r="F66" s="1803"/>
      <c r="G66" s="1803"/>
      <c r="H66" s="1805"/>
      <c r="I66" s="128"/>
      <c r="J66" s="3668"/>
      <c r="K66" s="1327" t="s">
        <v>1386</v>
      </c>
      <c r="L66" s="1327" t="e">
        <f>M49*0.5%</f>
        <v>#VALUE!</v>
      </c>
      <c r="M66" s="301" t="e">
        <f>IF(L66&gt;0.5,0.5,ROUND(L66,0))</f>
        <v>#VALUE!</v>
      </c>
      <c r="N66" s="2539" t="s">
        <v>1387</v>
      </c>
      <c r="Z66" s="1747"/>
      <c r="AI66" s="1748"/>
    </row>
    <row r="67" spans="1:35" ht="14.25" customHeight="1">
      <c r="A67" s="172" t="s">
        <v>328</v>
      </c>
      <c r="B67" s="173" t="s">
        <v>1388</v>
      </c>
      <c r="C67" s="2563">
        <f ca="1">C63-C66</f>
        <v>61179</v>
      </c>
      <c r="D67" s="169" t="s">
        <v>26</v>
      </c>
      <c r="E67" s="171"/>
      <c r="F67" s="1803"/>
      <c r="G67" s="1803"/>
      <c r="H67" s="1805"/>
      <c r="I67" s="128"/>
      <c r="J67" s="3668"/>
      <c r="K67" s="1327" t="s">
        <v>1389</v>
      </c>
      <c r="L67" s="1327"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8"/>
      <c r="Z67" s="1747"/>
      <c r="AI67" s="1748"/>
    </row>
    <row r="68" spans="1:35" ht="14.25" customHeight="1" thickBot="1">
      <c r="A68" s="175" t="s">
        <v>329</v>
      </c>
      <c r="B68" s="176" t="s">
        <v>1390</v>
      </c>
      <c r="C68" s="2564">
        <f ca="1">IF(C67&lt;=0,0,ROUND(C67*D68,0))</f>
        <v>3426</v>
      </c>
      <c r="D68" s="2565">
        <f>'数据-取费表'!B41</f>
        <v>5.6000000000000001E-2</v>
      </c>
      <c r="E68" s="177"/>
      <c r="F68" s="1803"/>
      <c r="G68" s="1803"/>
      <c r="H68" s="1805"/>
      <c r="I68" s="128"/>
      <c r="J68" s="3668"/>
      <c r="K68" s="1327" t="s">
        <v>1391</v>
      </c>
      <c r="L68" s="1327" t="e">
        <f>IF(M49&gt;10000,M49*0.5%,IF(AND(M49&gt;5000,M49&lt;=10000),M49*1%,IF(AND(M49&gt;1000,M49&lt;=5000),M49*2%,IF(AND(M49&gt;200,M49&lt;=1000),M49*3%,M49*5%))))</f>
        <v>#VALUE!</v>
      </c>
      <c r="M68" s="301" t="e">
        <f>ROUND(L68,1)</f>
        <v>#VALUE!</v>
      </c>
      <c r="N68" s="2538"/>
      <c r="Z68" s="1747"/>
      <c r="AI68" s="1748"/>
    </row>
    <row r="69" spans="1:35" s="1767" customFormat="1" ht="16.5" customHeight="1">
      <c r="A69" s="1806"/>
      <c r="B69" s="1807"/>
      <c r="C69" s="1808"/>
      <c r="D69" s="1809"/>
      <c r="E69" s="1810"/>
      <c r="F69" s="1573"/>
      <c r="G69" s="1573"/>
      <c r="H69" s="1572"/>
      <c r="I69" s="1742"/>
      <c r="J69" s="3668"/>
      <c r="K69" s="1327" t="s">
        <v>1392</v>
      </c>
      <c r="L69" s="1327"/>
      <c r="M69" s="301" t="e">
        <f>ROUND(SUM(M63:M68),0)</f>
        <v>#VALUE!</v>
      </c>
      <c r="N69" s="2540" t="e">
        <f>M69/M49</f>
        <v>#VALUE!</v>
      </c>
      <c r="O69" s="723"/>
      <c r="P69" s="723"/>
      <c r="Q69" s="723"/>
      <c r="R69" s="723"/>
      <c r="S69" s="723"/>
      <c r="T69" s="723"/>
      <c r="U69" s="723"/>
      <c r="V69" s="723"/>
      <c r="W69" s="723"/>
      <c r="X69" s="723"/>
      <c r="Y69" s="723"/>
      <c r="Z69" s="1747"/>
      <c r="AA69" s="1747"/>
      <c r="AB69" s="1747"/>
      <c r="AC69" s="1747"/>
      <c r="AD69" s="1747"/>
      <c r="AE69" s="1747"/>
      <c r="AF69" s="1747"/>
      <c r="AG69" s="1747"/>
      <c r="AH69" s="1747"/>
    </row>
    <row r="70" spans="1:35" s="1812" customFormat="1" ht="15" thickBot="1">
      <c r="A70" s="3630" t="s">
        <v>1393</v>
      </c>
      <c r="B70" s="3631"/>
      <c r="C70" s="3631"/>
      <c r="D70" s="3631"/>
      <c r="E70" s="3631"/>
      <c r="F70" s="3631"/>
      <c r="G70" s="3631"/>
      <c r="H70" s="3631"/>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09" t="s">
        <v>1374</v>
      </c>
      <c r="B71" s="3610"/>
      <c r="C71" s="2016"/>
      <c r="D71" s="2016" t="s">
        <v>1375</v>
      </c>
      <c r="E71" s="178" t="s">
        <v>1376</v>
      </c>
      <c r="F71" s="179"/>
      <c r="G71" s="179"/>
      <c r="H71" s="180"/>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2" t="s">
        <v>330</v>
      </c>
      <c r="B72" s="173" t="s">
        <v>1394</v>
      </c>
      <c r="C72" s="2563">
        <f ca="1">ROUND(D45/(1+'数据-取费表'!C42),0)</f>
        <v>61179</v>
      </c>
      <c r="D72" s="169" t="s">
        <v>26</v>
      </c>
      <c r="E72" s="2326"/>
      <c r="F72" s="2325"/>
      <c r="G72" s="2325"/>
      <c r="H72" s="181"/>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2" t="s">
        <v>327</v>
      </c>
      <c r="B73" s="162" t="s">
        <v>1395</v>
      </c>
      <c r="C73" s="2563">
        <f ca="1">C74+C78</f>
        <v>367</v>
      </c>
      <c r="D73" s="169" t="s">
        <v>26</v>
      </c>
      <c r="E73" s="2326"/>
      <c r="F73" s="2325"/>
      <c r="G73" s="2325"/>
      <c r="H73" s="181"/>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8" t="s">
        <v>325</v>
      </c>
      <c r="B74" s="169" t="s">
        <v>1396</v>
      </c>
      <c r="C74" s="169">
        <f>ROUND(IF(G77="2016年5月1日后购买",C75/(1+'数据-取费表'!C42)+C76+C77,C75+C76+C77),0)</f>
        <v>0</v>
      </c>
      <c r="D74" s="169" t="s">
        <v>26</v>
      </c>
      <c r="E74" s="2326"/>
      <c r="F74" s="2325"/>
      <c r="G74" s="2325"/>
      <c r="H74" s="181"/>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8" t="s">
        <v>331</v>
      </c>
      <c r="B75" s="169" t="s">
        <v>1397</v>
      </c>
      <c r="C75" s="2566"/>
      <c r="D75" s="169" t="s">
        <v>26</v>
      </c>
      <c r="E75" s="183" t="s">
        <v>1398</v>
      </c>
      <c r="F75" s="2567"/>
      <c r="G75" s="183" t="s">
        <v>1399</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8" t="s">
        <v>332</v>
      </c>
      <c r="B76" s="184" t="s">
        <v>1400</v>
      </c>
      <c r="C76" s="169">
        <f>IF(F75="购房发票",ROUND(C75*H75*D76,0),0)</f>
        <v>0</v>
      </c>
      <c r="D76" s="2569">
        <v>0.05</v>
      </c>
      <c r="E76" s="3604" t="s">
        <v>1401</v>
      </c>
      <c r="F76" s="3578"/>
      <c r="G76" s="3578"/>
      <c r="H76" s="3629"/>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8" t="s">
        <v>333</v>
      </c>
      <c r="B77" s="169" t="s">
        <v>1402</v>
      </c>
      <c r="C77" s="169">
        <f>ROUND(IF(G77="个人住宅",0,IF(G77="2016年5月1日前购买",C75*D77,C75*D77/(1+'数据-取费表'!C42))),0)</f>
        <v>0</v>
      </c>
      <c r="D77" s="2570">
        <f>'数据-取费表'!B48+'数据-取费表'!B49</f>
        <v>3.0499999999999999E-2</v>
      </c>
      <c r="E77" s="2319" t="s">
        <v>1403</v>
      </c>
      <c r="F77" s="185"/>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8" t="s">
        <v>326</v>
      </c>
      <c r="B78" s="169" t="s">
        <v>1404</v>
      </c>
      <c r="C78" s="2571">
        <f ca="1">ROUND(D45*D78/(1+'数据-取费表'!C42),0)</f>
        <v>367</v>
      </c>
      <c r="D78" s="2572">
        <f>'数据-取费表'!B43</f>
        <v>6.000000000000001E-3</v>
      </c>
      <c r="E78" s="3588" t="s">
        <v>1405</v>
      </c>
      <c r="F78" s="3589"/>
      <c r="G78" s="3589"/>
      <c r="H78" s="359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2" t="s">
        <v>334</v>
      </c>
      <c r="B79" s="173" t="s">
        <v>1406</v>
      </c>
      <c r="C79" s="2563">
        <f ca="1">C72-C73</f>
        <v>60812</v>
      </c>
      <c r="D79" s="169" t="s">
        <v>26</v>
      </c>
      <c r="E79" s="2326"/>
      <c r="F79" s="2325"/>
      <c r="G79" s="2325"/>
      <c r="H79" s="181"/>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2" t="s">
        <v>335</v>
      </c>
      <c r="B80" s="173" t="s">
        <v>1407</v>
      </c>
      <c r="C80" s="2573">
        <f ca="1">IF(C79&lt;=0,0,C79/C73)</f>
        <v>165.70027247956403</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5" t="s">
        <v>336</v>
      </c>
      <c r="B81" s="176" t="s">
        <v>1408</v>
      </c>
      <c r="C81" s="2574">
        <f ca="1">ROUND(IF(C79&lt;=0,0,IF(C80&gt;=200%,C79*60%-C73*35%,IF(C80&gt;=100%,C79*50%-C73*15%,IF(C80&gt;=50%,C79*40%-C73*5%,IF(C80&lt;50%,C79*30%,0))))),0)</f>
        <v>36359</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8"/>
      <c r="B82" s="679"/>
      <c r="C82" s="4"/>
      <c r="D82" s="4"/>
      <c r="E82" s="679"/>
      <c r="F82" s="679"/>
      <c r="G82" s="679"/>
      <c r="H82" s="680"/>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30" t="s">
        <v>1409</v>
      </c>
      <c r="B83" s="3631"/>
      <c r="C83" s="3631"/>
      <c r="D83" s="3631"/>
      <c r="E83" s="3631"/>
      <c r="F83" s="3631"/>
      <c r="G83" s="3631"/>
      <c r="H83" s="3631"/>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09" t="s">
        <v>1374</v>
      </c>
      <c r="B84" s="3610"/>
      <c r="C84" s="2016"/>
      <c r="D84" s="2016" t="s">
        <v>1375</v>
      </c>
      <c r="E84" s="178" t="s">
        <v>1376</v>
      </c>
      <c r="F84" s="179"/>
      <c r="G84" s="179"/>
      <c r="H84" s="190"/>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2" t="s">
        <v>330</v>
      </c>
      <c r="B85" s="173" t="s">
        <v>1394</v>
      </c>
      <c r="C85" s="2563">
        <f ca="1">ROUND(D45/(1+'数据-取费表'!C42),0)</f>
        <v>61179</v>
      </c>
      <c r="D85" s="169" t="s">
        <v>26</v>
      </c>
      <c r="E85" s="2326"/>
      <c r="F85" s="2325"/>
      <c r="G85" s="2325"/>
      <c r="H85" s="191"/>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2" t="s">
        <v>327</v>
      </c>
      <c r="B86" s="162" t="s">
        <v>1395</v>
      </c>
      <c r="C86" s="2563">
        <f ca="1">IF(H88="仅含出让金",C87+C90+C91+C92+C93+C94,C87+C91+C92+C93+C94)</f>
        <v>367</v>
      </c>
      <c r="D86" s="2576"/>
      <c r="E86" s="2326"/>
      <c r="F86" s="2325"/>
      <c r="G86" s="2325"/>
      <c r="H86" s="191"/>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8" t="s">
        <v>325</v>
      </c>
      <c r="B87" s="169" t="s">
        <v>1410</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8" t="s">
        <v>331</v>
      </c>
      <c r="B88" s="169" t="s">
        <v>1411</v>
      </c>
      <c r="C88" s="2577"/>
      <c r="D88" s="2572"/>
      <c r="E88" s="192" t="s">
        <v>1412</v>
      </c>
      <c r="F88" s="2322"/>
      <c r="G88" s="193" t="s">
        <v>1413</v>
      </c>
      <c r="H88" s="1819"/>
      <c r="I88" s="1816"/>
      <c r="J88" s="2516" t="s">
        <v>2285</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8" t="s">
        <v>332</v>
      </c>
      <c r="B89" s="169" t="s">
        <v>1402</v>
      </c>
      <c r="C89" s="2571">
        <f>ROUND(C88*D89,0)</f>
        <v>0</v>
      </c>
      <c r="D89" s="2572">
        <f>'数据-取费表'!B48+'数据-取费表'!B49</f>
        <v>3.0499999999999999E-2</v>
      </c>
      <c r="E89" s="192" t="s">
        <v>1414</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8" t="s">
        <v>326</v>
      </c>
      <c r="B90" s="169" t="s">
        <v>1415</v>
      </c>
      <c r="C90" s="2577"/>
      <c r="D90" s="2572"/>
      <c r="E90" s="192" t="str">
        <f>IF(H88="-","土地取得成本中已包含该笔费用"," ")</f>
        <v xml:space="preserve"> </v>
      </c>
      <c r="F90" s="2322"/>
      <c r="G90" s="3670" t="s">
        <v>2126</v>
      </c>
      <c r="H90" s="3671"/>
      <c r="I90" s="1816"/>
      <c r="J90" s="2516" t="s">
        <v>2286</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8" t="s">
        <v>1416</v>
      </c>
      <c r="B91" s="169" t="s">
        <v>1417</v>
      </c>
      <c r="C91" s="2571">
        <f>IF(H91="——",成本法!C33,I91)</f>
        <v>0</v>
      </c>
      <c r="D91" s="2572"/>
      <c r="E91" s="3588" t="s">
        <v>1418</v>
      </c>
      <c r="F91" s="3589"/>
      <c r="G91" s="3589"/>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8" t="s">
        <v>1419</v>
      </c>
      <c r="B92" s="169" t="s">
        <v>1420</v>
      </c>
      <c r="C92" s="2571">
        <f>ROUND((C87+C90+C91)*D92,0)</f>
        <v>0</v>
      </c>
      <c r="D92" s="2578"/>
      <c r="E92" s="3588" t="s">
        <v>1421</v>
      </c>
      <c r="F92" s="3589"/>
      <c r="G92" s="3589"/>
      <c r="H92" s="3598"/>
      <c r="I92" s="1816"/>
      <c r="J92" s="2517" t="s">
        <v>2287</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8" t="s">
        <v>1422</v>
      </c>
      <c r="B93" s="169" t="s">
        <v>1404</v>
      </c>
      <c r="C93" s="2571">
        <f ca="1">ROUND(D45*D93/(1+'数据-取费表'!C42),0)</f>
        <v>367</v>
      </c>
      <c r="D93" s="2572">
        <f>'数据-取费表'!B43</f>
        <v>6.000000000000001E-3</v>
      </c>
      <c r="E93" s="3588" t="s">
        <v>1405</v>
      </c>
      <c r="F93" s="3589"/>
      <c r="G93" s="3589"/>
      <c r="H93" s="359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8" t="s">
        <v>1423</v>
      </c>
      <c r="B94" s="169" t="s">
        <v>1424</v>
      </c>
      <c r="C94" s="2577">
        <f>ROUND((C87+C90+C91)*D94,0)</f>
        <v>0</v>
      </c>
      <c r="D94" s="2572">
        <v>0.2</v>
      </c>
      <c r="E94" s="3599" t="s">
        <v>1425</v>
      </c>
      <c r="F94" s="3600"/>
      <c r="G94" s="3600"/>
      <c r="H94" s="3601"/>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2" t="s">
        <v>334</v>
      </c>
      <c r="B95" s="173" t="s">
        <v>1406</v>
      </c>
      <c r="C95" s="2563">
        <f ca="1">ROUND(C85-C86,0)</f>
        <v>60812</v>
      </c>
      <c r="D95" s="169" t="s">
        <v>26</v>
      </c>
      <c r="E95" s="2326"/>
      <c r="F95" s="2325"/>
      <c r="G95" s="2325"/>
      <c r="H95" s="191"/>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2" t="s">
        <v>335</v>
      </c>
      <c r="B96" s="173" t="s">
        <v>1407</v>
      </c>
      <c r="C96" s="2573">
        <f ca="1">IF(C95&lt;=0,0,C95/C86)</f>
        <v>165.70027247956403</v>
      </c>
      <c r="D96" s="169"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1"/>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5" t="s">
        <v>336</v>
      </c>
      <c r="B97" s="176" t="s">
        <v>1408</v>
      </c>
      <c r="C97" s="2574">
        <f ca="1">ROUND(IF(C95&lt;=0,0,IF(C96&gt;=200%,C95*60%-C86*35%,IF(C96&gt;=100%,C95*50%-C86*15%,IF(C96&gt;=50%,C95*40%-C86*5%,IF(C96&lt;50%,C95*30%,0))))),0)</f>
        <v>36359</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8"/>
    </row>
    <row r="99" spans="1:35" ht="21.75" customHeight="1" thickBot="1">
      <c r="A99" s="1795" t="s">
        <v>1426</v>
      </c>
      <c r="B99" s="1742"/>
      <c r="C99" s="1742"/>
      <c r="D99" s="1742"/>
      <c r="E99" s="1573"/>
      <c r="F99" s="1573"/>
      <c r="G99" s="1573"/>
      <c r="H99" s="1572"/>
      <c r="I99" s="128"/>
    </row>
    <row r="100" spans="1:35" ht="18.75" customHeight="1">
      <c r="A100" s="3571" t="s">
        <v>1427</v>
      </c>
      <c r="B100" s="3572"/>
      <c r="C100" s="3572"/>
      <c r="D100" s="3590"/>
      <c r="E100" s="3572" t="s">
        <v>1428</v>
      </c>
      <c r="F100" s="3572"/>
      <c r="G100" s="3572"/>
      <c r="H100" s="3590"/>
      <c r="I100" s="128"/>
    </row>
    <row r="101" spans="1:35" ht="18.75" customHeight="1">
      <c r="A101" s="3651" t="s">
        <v>1429</v>
      </c>
      <c r="B101" s="3652"/>
      <c r="C101" s="2580" t="str">
        <f>C4</f>
        <v>成本法</v>
      </c>
      <c r="D101" s="2581" t="str">
        <f>D4</f>
        <v>收益法（汇总）</v>
      </c>
      <c r="E101" s="3665" t="s">
        <v>1430</v>
      </c>
      <c r="F101" s="3622"/>
      <c r="G101" s="1822" t="s">
        <v>1431</v>
      </c>
      <c r="H101" s="2590">
        <f ca="1">H118</f>
        <v>64238</v>
      </c>
      <c r="I101" s="128"/>
    </row>
    <row r="102" spans="1:35" ht="18.75" customHeight="1">
      <c r="A102" s="3624" t="s">
        <v>1432</v>
      </c>
      <c r="B102" s="2579" t="s">
        <v>1431</v>
      </c>
      <c r="C102" s="2580">
        <f ca="1">IF(D32="楼面单价",ROUND(C19,0),C19)</f>
        <v>68305</v>
      </c>
      <c r="D102" s="2581">
        <f ca="1">IF(D32="楼面单价",ROUND(D19,0),D19)</f>
        <v>60171</v>
      </c>
      <c r="E102" s="3665"/>
      <c r="F102" s="3622"/>
      <c r="G102" s="1822" t="s">
        <v>1433</v>
      </c>
      <c r="H102" s="2550">
        <f ca="1">I118</f>
        <v>16178</v>
      </c>
      <c r="I102" s="128"/>
    </row>
    <row r="103" spans="1:35" ht="42.75" customHeight="1">
      <c r="A103" s="3624"/>
      <c r="B103" s="2579" t="s">
        <v>1433</v>
      </c>
      <c r="C103" s="2582">
        <f ca="1">C20</f>
        <v>17202</v>
      </c>
      <c r="D103" s="2583">
        <f ca="1">D20</f>
        <v>15153</v>
      </c>
      <c r="E103" s="3659" t="s">
        <v>1434</v>
      </c>
      <c r="F103" s="3660"/>
      <c r="G103" s="1823" t="s">
        <v>1435</v>
      </c>
      <c r="H103" s="2590">
        <f>IF(D36="正常操作",H104+H105+H106,H105+H106)</f>
        <v>0</v>
      </c>
      <c r="I103" s="128"/>
    </row>
    <row r="104" spans="1:35" ht="18.75" customHeight="1">
      <c r="A104" s="3624" t="s">
        <v>1436</v>
      </c>
      <c r="B104" s="2584" t="s">
        <v>1431</v>
      </c>
      <c r="C104" s="2585">
        <f ca="1">H118</f>
        <v>64238</v>
      </c>
      <c r="D104" s="2586"/>
      <c r="E104" s="1669" t="s">
        <v>1437</v>
      </c>
      <c r="F104" s="1661"/>
      <c r="G104" s="1823" t="s">
        <v>1435</v>
      </c>
      <c r="H104" s="2591">
        <f>IF(D36="同一抵押权人同一抵押物续贷",C36&amp;"（续贷，未扣减，详见特别提示）",C36)</f>
        <v>0</v>
      </c>
      <c r="I104" s="128"/>
    </row>
    <row r="105" spans="1:35" ht="18.75" customHeight="1" thickBot="1">
      <c r="A105" s="3625"/>
      <c r="B105" s="2587" t="s">
        <v>1433</v>
      </c>
      <c r="C105" s="2588">
        <f ca="1">I118</f>
        <v>16178</v>
      </c>
      <c r="D105" s="2589"/>
      <c r="E105" s="1669" t="s">
        <v>1438</v>
      </c>
      <c r="F105" s="1661"/>
      <c r="G105" s="1823" t="s">
        <v>1435</v>
      </c>
      <c r="H105" s="2592">
        <f>C37</f>
        <v>0</v>
      </c>
      <c r="I105" s="128"/>
    </row>
    <row r="106" spans="1:35" ht="18.75" customHeight="1">
      <c r="A106" s="1742" t="s">
        <v>1439</v>
      </c>
      <c r="B106" s="1742"/>
      <c r="C106" s="1742"/>
      <c r="D106" s="1742"/>
      <c r="E106" s="1824" t="s">
        <v>1440</v>
      </c>
      <c r="F106" s="1661"/>
      <c r="G106" s="1823" t="s">
        <v>1435</v>
      </c>
      <c r="H106" s="2592">
        <f>C38</f>
        <v>0</v>
      </c>
      <c r="I106" s="128"/>
    </row>
    <row r="107" spans="1:35" ht="18.75" customHeight="1">
      <c r="A107" s="128"/>
      <c r="B107" s="128"/>
      <c r="C107" s="128"/>
      <c r="D107" s="128"/>
      <c r="E107" s="3621" t="str">
        <f>IF(项目基本情况!E8="已注销","——","3.房地产抵押价值")</f>
        <v>3.房地产抵押价值</v>
      </c>
      <c r="F107" s="3622"/>
      <c r="G107" s="1822" t="s">
        <v>1431</v>
      </c>
      <c r="H107" s="2590">
        <f ca="1">IF(E107="——","——",H101-H103)</f>
        <v>64238</v>
      </c>
      <c r="I107" s="128"/>
    </row>
    <row r="108" spans="1:35" ht="18.75" customHeight="1">
      <c r="A108" s="128"/>
      <c r="B108" s="128"/>
      <c r="C108" s="128"/>
      <c r="D108" s="128"/>
      <c r="E108" s="3621"/>
      <c r="F108" s="3622"/>
      <c r="G108" s="1822" t="s">
        <v>1433</v>
      </c>
      <c r="H108" s="2550">
        <f ca="1">IF(H107=H101,H102,ROUND(H107*10000/'数据-汇总表'!E3,0))</f>
        <v>16178</v>
      </c>
      <c r="I108" s="128"/>
    </row>
    <row r="109" spans="1:35" ht="18.75" customHeight="1">
      <c r="A109" s="128"/>
      <c r="B109" s="128"/>
      <c r="C109" s="128"/>
      <c r="D109" s="128"/>
      <c r="E109" s="3621" t="str">
        <f>IF(项目基本情况!E8="已注销及未注销","4.抵押担保权已注销时的房地产抵押价值",IF(项目基本情况!E8="已注销","3.抵押担保权已注销时的房地产抵押价值","——"))</f>
        <v>——</v>
      </c>
      <c r="F109" s="3622"/>
      <c r="G109" s="1822" t="s">
        <v>1431</v>
      </c>
      <c r="H109" s="2593" t="str">
        <f>IF(E109="——","——",H101-H105-H106)</f>
        <v>——</v>
      </c>
      <c r="I109" s="128"/>
    </row>
    <row r="110" spans="1:35" ht="18.75" customHeight="1">
      <c r="A110" s="128"/>
      <c r="B110" s="128"/>
      <c r="C110" s="128"/>
      <c r="D110" s="128"/>
      <c r="E110" s="3621"/>
      <c r="F110" s="3622"/>
      <c r="G110" s="1822" t="s">
        <v>1433</v>
      </c>
      <c r="H110" s="2550" t="str">
        <f>IF(H109="——","——",ROUND(H109*10000/'数据-汇总表'!E3,0))</f>
        <v>——</v>
      </c>
      <c r="I110" s="128"/>
    </row>
    <row r="111" spans="1:35" ht="18.75" customHeight="1">
      <c r="A111" s="128"/>
      <c r="B111" s="128"/>
      <c r="C111" s="128"/>
      <c r="D111" s="128"/>
      <c r="E111" s="3653" t="str">
        <f>IF(项目基本情况!E9="抵押净值",IF(OR(项目基本情况!E8="已注销",项目基本情况!E8="房地产抵押价值"),"4.抵押净值","5.抵押净值"),"——")</f>
        <v>——</v>
      </c>
      <c r="F111" s="3623"/>
      <c r="G111" s="1822" t="s">
        <v>1431</v>
      </c>
      <c r="H111" s="2590" t="str">
        <f>IF(E111="——","——",N59)</f>
        <v>——</v>
      </c>
      <c r="I111" s="128"/>
    </row>
    <row r="112" spans="1:35" ht="18.75" customHeight="1" thickBot="1">
      <c r="A112" s="128"/>
      <c r="B112" s="128"/>
      <c r="C112" s="128"/>
      <c r="D112" s="128"/>
      <c r="E112" s="3654"/>
      <c r="F112" s="3655"/>
      <c r="G112" s="1825" t="s">
        <v>1433</v>
      </c>
      <c r="H112" s="2594" t="str">
        <f>IF(E111="——","——",N61)</f>
        <v>——</v>
      </c>
      <c r="I112" s="128"/>
    </row>
    <row r="113" spans="1:27" ht="18.75" customHeight="1">
      <c r="A113" s="128"/>
      <c r="B113" s="128"/>
      <c r="C113" s="128"/>
      <c r="D113" s="128"/>
      <c r="E113" s="3626" t="s">
        <v>1439</v>
      </c>
      <c r="F113" s="3626"/>
      <c r="G113" s="3626"/>
      <c r="H113" s="3626"/>
      <c r="I113" s="128"/>
    </row>
    <row r="114" spans="1:27" ht="3.75" customHeight="1">
      <c r="A114" s="1742"/>
      <c r="B114" s="1742"/>
      <c r="C114" s="1742"/>
      <c r="D114" s="1742"/>
      <c r="E114" s="1804"/>
      <c r="F114" s="1804"/>
      <c r="G114" s="1804"/>
      <c r="H114" s="1804"/>
      <c r="I114" s="1742"/>
    </row>
    <row r="115" spans="1:27" ht="18.75" customHeight="1">
      <c r="A115" s="3636" t="s">
        <v>1441</v>
      </c>
      <c r="B115" s="3637"/>
      <c r="C115" s="3637"/>
      <c r="D115" s="3637"/>
      <c r="E115" s="3637"/>
      <c r="F115" s="3637"/>
      <c r="G115" s="3637"/>
      <c r="H115" s="3637"/>
      <c r="I115" s="3638"/>
    </row>
    <row r="116" spans="1:27" ht="27" customHeight="1">
      <c r="A116" s="3592" t="s">
        <v>1442</v>
      </c>
      <c r="B116" s="3627" t="s">
        <v>1443</v>
      </c>
      <c r="C116" s="3627" t="s">
        <v>1444</v>
      </c>
      <c r="D116" s="3640" t="s">
        <v>1445</v>
      </c>
      <c r="E116" s="3641"/>
      <c r="F116" s="3635" t="s">
        <v>3611</v>
      </c>
      <c r="G116" s="3635"/>
      <c r="H116" s="3592" t="s">
        <v>1446</v>
      </c>
      <c r="I116" s="3592"/>
    </row>
    <row r="117" spans="1:27" ht="18.75" customHeight="1">
      <c r="A117" s="3592"/>
      <c r="B117" s="3628"/>
      <c r="C117" s="3628"/>
      <c r="D117" s="2324" t="s">
        <v>1447</v>
      </c>
      <c r="E117" s="2324" t="s">
        <v>1448</v>
      </c>
      <c r="F117" s="2324" t="s">
        <v>1447</v>
      </c>
      <c r="G117" s="2324" t="s">
        <v>1449</v>
      </c>
      <c r="H117" s="2324" t="s">
        <v>1447</v>
      </c>
      <c r="I117" s="2324" t="s">
        <v>1449</v>
      </c>
    </row>
    <row r="118" spans="1:27" ht="24.75" customHeight="1">
      <c r="A118" s="2595" t="str">
        <f>项目基本情况!S2</f>
        <v>北京市房地产</v>
      </c>
      <c r="B118" s="2324">
        <f>M18</f>
        <v>39707.960000000006</v>
      </c>
      <c r="C118" s="2324">
        <f>M19</f>
        <v>6294.36</v>
      </c>
      <c r="D118" s="2324">
        <f ca="1">ROUND(IF(D32="总价",C34,E118*B118/10000),0)</f>
        <v>43958</v>
      </c>
      <c r="E118" s="2324">
        <f ca="1">ROUND(IF(C33="自定义",IF(D32="楼面单价",C34,D118*10000/B118),I118-G118),0)</f>
        <v>11070</v>
      </c>
      <c r="F118" s="2324">
        <f ca="1">ROUND(IF(D32="总价",C35,G118*B118/10000),0)</f>
        <v>20280</v>
      </c>
      <c r="G118" s="2324">
        <f ca="1">ROUND(IF(D32="楼面单价",C35,F118*10000/B118),0)</f>
        <v>5107</v>
      </c>
      <c r="H118" s="2324">
        <f ca="1">ROUND(IF(D32="总价",C32,I118*B118/10000),0)</f>
        <v>64238</v>
      </c>
      <c r="I118" s="2324">
        <f ca="1">ROUND(IF(D32="楼面单价",C32,H118*10000/B118),0)</f>
        <v>16178</v>
      </c>
    </row>
    <row r="119" spans="1:27" ht="18.75" customHeight="1">
      <c r="A119" s="3592" t="s">
        <v>1450</v>
      </c>
      <c r="B119" s="3592"/>
      <c r="C119" s="3592"/>
      <c r="D119" s="3632" t="str">
        <f ca="1">NUMBERSTRING(INT(D118*10000),2)&amp;"元整"</f>
        <v>肆亿叁仟玖佰伍拾捌万元整</v>
      </c>
      <c r="E119" s="3634"/>
      <c r="F119" s="3632" t="str">
        <f ca="1">NUMBERSTRING(INT(F118*10000),2)&amp;"元整"</f>
        <v>贰亿零贰佰捌拾万元整</v>
      </c>
      <c r="G119" s="3634"/>
      <c r="H119" s="3632" t="str">
        <f ca="1">NUMBERSTRING(INT(H118*10000),2)&amp;"元整"</f>
        <v>陆亿肆仟贰佰叁拾捌万元整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2" t="s">
        <v>1450</v>
      </c>
      <c r="B121" s="3633"/>
      <c r="C121" s="3634"/>
      <c r="D121" s="3632" t="str">
        <f>IF(D120=0,"零元整",NUMBERSTRING(INT(D120*10000),2)&amp;"元整")</f>
        <v>零元整</v>
      </c>
      <c r="E121" s="3633"/>
      <c r="F121" s="3633"/>
      <c r="G121" s="3633"/>
      <c r="H121" s="3633"/>
      <c r="I121" s="3634"/>
      <c r="AA121" s="723"/>
    </row>
    <row r="122" spans="1:27" ht="18.75" customHeight="1">
      <c r="A122" s="3623" t="str">
        <f>IF(项目基本情况!B9="房地产市场价值","",MID(E107,3,LEN(E107)-2))</f>
        <v>房地产抵押价值</v>
      </c>
      <c r="B122" s="3623"/>
      <c r="C122" s="3623"/>
      <c r="D122" s="3656">
        <f ca="1">H107</f>
        <v>64238</v>
      </c>
      <c r="E122" s="3657"/>
      <c r="F122" s="3657"/>
      <c r="G122" s="3657"/>
      <c r="H122" s="3657"/>
      <c r="I122" s="3658"/>
      <c r="AA122" s="723"/>
    </row>
    <row r="123" spans="1:27" ht="18.75" customHeight="1">
      <c r="A123" s="3592" t="s">
        <v>1450</v>
      </c>
      <c r="B123" s="3592"/>
      <c r="C123" s="3592"/>
      <c r="D123" s="3632" t="str">
        <f ca="1">NUMBERSTRING(INT(D122*10000),2)&amp;"元整"</f>
        <v>陆亿肆仟贰佰叁拾捌万元整</v>
      </c>
      <c r="E123" s="3633"/>
      <c r="F123" s="3633"/>
      <c r="G123" s="3633"/>
      <c r="H123" s="3633"/>
      <c r="I123" s="3634"/>
      <c r="AA123" s="723"/>
    </row>
    <row r="124" spans="1:27" ht="18.75" customHeight="1">
      <c r="A124" s="3623" t="str">
        <f>IF(项目基本情况!B9="房地产市场价值","",MID(E109,3,LEN(E109)-2))</f>
        <v/>
      </c>
      <c r="B124" s="3623"/>
      <c r="C124" s="3623"/>
      <c r="D124" s="3656" t="str">
        <f>H109</f>
        <v>——</v>
      </c>
      <c r="E124" s="3657"/>
      <c r="F124" s="3657"/>
      <c r="G124" s="3657"/>
      <c r="H124" s="3657"/>
      <c r="I124" s="3658"/>
      <c r="AA124" s="723"/>
    </row>
    <row r="125" spans="1:27" ht="18.75" customHeight="1">
      <c r="A125" s="3592" t="s">
        <v>1450</v>
      </c>
      <c r="B125" s="3592"/>
      <c r="C125" s="3592"/>
      <c r="D125" s="3632" t="e">
        <f>NUMBERSTRING(INT(D124*10000),2)&amp;"元整"</f>
        <v>#VALUE!</v>
      </c>
      <c r="E125" s="3633"/>
      <c r="F125" s="3633"/>
      <c r="G125" s="3633"/>
      <c r="H125" s="3633"/>
      <c r="I125" s="3634"/>
      <c r="AA125" s="723"/>
    </row>
    <row r="126" spans="1:27" ht="18.75" customHeight="1">
      <c r="A126" s="3623" t="str">
        <f>IF(项目基本情况!B9="房地产市场价值","",MID(E111,3,LEN(E111)-2))</f>
        <v/>
      </c>
      <c r="B126" s="3623"/>
      <c r="C126" s="3623"/>
      <c r="D126" s="3656" t="str">
        <f>H111</f>
        <v>——</v>
      </c>
      <c r="E126" s="3657"/>
      <c r="F126" s="3657"/>
      <c r="G126" s="3657"/>
      <c r="H126" s="3657"/>
      <c r="I126" s="3658"/>
      <c r="AA126" s="723"/>
    </row>
    <row r="127" spans="1:27" ht="18.75" customHeight="1">
      <c r="A127" s="3592" t="s">
        <v>1450</v>
      </c>
      <c r="B127" s="3592"/>
      <c r="C127" s="3592"/>
      <c r="D127" s="3632" t="e">
        <f>NUMBERSTRING(INT(D126*10000),2)&amp;"元整"</f>
        <v>#VALUE!</v>
      </c>
      <c r="E127" s="3633"/>
      <c r="F127" s="3633"/>
      <c r="G127" s="3633"/>
      <c r="H127" s="3633"/>
      <c r="I127" s="3634"/>
      <c r="AA127" s="723"/>
    </row>
    <row r="128" spans="1:27" ht="21.75" customHeight="1">
      <c r="A128" s="3639" t="s">
        <v>1451</v>
      </c>
      <c r="B128" s="3639"/>
      <c r="C128" s="3639"/>
      <c r="D128" s="3639"/>
      <c r="E128" s="3639"/>
      <c r="F128" s="3639"/>
      <c r="G128" s="3639"/>
      <c r="H128" s="3639"/>
      <c r="I128" s="3639"/>
      <c r="AA128" s="723"/>
    </row>
    <row r="129" spans="1:35" ht="21.75" customHeight="1">
      <c r="A129" s="1826" t="s">
        <v>1452</v>
      </c>
      <c r="B129" s="1827"/>
      <c r="C129" s="1828" t="s">
        <v>1453</v>
      </c>
      <c r="D129" s="1829"/>
      <c r="E129" s="1829"/>
      <c r="F129" s="1829"/>
      <c r="G129" s="1829"/>
      <c r="H129" s="1830"/>
      <c r="I129" s="1831"/>
      <c r="AA129" s="723"/>
    </row>
    <row r="130" spans="1:35" ht="21.75" customHeight="1">
      <c r="A130" s="1832">
        <v>1</v>
      </c>
      <c r="B130" s="1833"/>
      <c r="C130" s="1833"/>
      <c r="D130" s="1834"/>
      <c r="E130" s="1834"/>
      <c r="F130" s="1834"/>
      <c r="G130" s="1834"/>
      <c r="H130" s="1835"/>
      <c r="I130" s="1836"/>
      <c r="AA130" s="723"/>
    </row>
    <row r="131" spans="1:35" ht="21.75" customHeight="1">
      <c r="A131" s="1832">
        <v>2</v>
      </c>
      <c r="B131" s="1833"/>
      <c r="C131" s="1833"/>
      <c r="D131" s="1834"/>
      <c r="E131" s="1834"/>
      <c r="F131" s="1834"/>
      <c r="G131" s="1834"/>
      <c r="H131" s="1835"/>
      <c r="I131" s="1836"/>
      <c r="AA131" s="723"/>
    </row>
    <row r="132" spans="1:35" ht="21.75" customHeight="1">
      <c r="A132" s="1832">
        <v>3</v>
      </c>
      <c r="B132" s="1833"/>
      <c r="C132" s="1833"/>
      <c r="D132" s="1834"/>
      <c r="E132" s="1834"/>
      <c r="F132" s="1834"/>
      <c r="G132" s="1834"/>
      <c r="H132" s="1835"/>
      <c r="I132" s="1836"/>
      <c r="AA132" s="723"/>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3"/>
    </row>
    <row r="135" spans="1:35" ht="21.75" customHeight="1">
      <c r="A135" s="723"/>
      <c r="B135" s="723"/>
      <c r="C135" s="723"/>
      <c r="D135" s="723"/>
      <c r="E135" s="723"/>
      <c r="F135" s="1842" t="s">
        <v>1454</v>
      </c>
      <c r="G135" s="1843"/>
      <c r="H135" s="1843"/>
      <c r="I135" s="1844" t="s">
        <v>1455</v>
      </c>
    </row>
    <row r="136" spans="1:35" ht="21.75" customHeight="1">
      <c r="A136" s="723"/>
      <c r="B136" s="1845"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3"/>
      <c r="C138" s="1843"/>
      <c r="D138" s="1843"/>
      <c r="E138" s="1843"/>
      <c r="F138" s="1843"/>
      <c r="G138" s="1843"/>
      <c r="H138" s="1843"/>
      <c r="I138" s="1844" t="s">
        <v>1457</v>
      </c>
    </row>
    <row r="139" spans="1:35" ht="21.75" customHeight="1">
      <c r="A139" s="723"/>
      <c r="B139" s="1845" t="s">
        <v>1458</v>
      </c>
      <c r="C139" s="723"/>
      <c r="D139" s="723"/>
      <c r="E139" s="723"/>
      <c r="F139" s="723"/>
      <c r="G139" s="723"/>
      <c r="H139" s="723"/>
      <c r="I139" s="723"/>
    </row>
    <row r="140" spans="1:35" ht="21.75" customHeight="1">
      <c r="A140" s="723"/>
      <c r="B140" s="1845"/>
      <c r="C140" s="723"/>
      <c r="D140" s="723"/>
      <c r="E140" s="723"/>
      <c r="F140" s="723"/>
      <c r="G140" s="723"/>
      <c r="H140" s="723"/>
      <c r="I140" s="723"/>
    </row>
    <row r="141" spans="1:35" ht="21.75" customHeight="1">
      <c r="A141" s="723"/>
      <c r="B141" s="1843"/>
      <c r="C141" s="1843"/>
      <c r="D141" s="1843"/>
      <c r="E141" s="1843"/>
      <c r="F141" s="1843"/>
      <c r="G141" s="1843"/>
      <c r="H141" s="1843"/>
      <c r="I141" s="1844" t="s">
        <v>1457</v>
      </c>
    </row>
    <row r="142" spans="1:35" ht="21.75" customHeight="1">
      <c r="A142" s="723"/>
      <c r="B142" s="1845"/>
      <c r="C142" s="1846"/>
      <c r="D142" s="1847"/>
      <c r="E142" s="1847"/>
      <c r="F142" s="1736"/>
      <c r="G142" s="723"/>
      <c r="H142" s="723"/>
      <c r="I142" s="723"/>
    </row>
    <row r="143" spans="1:35" s="129" customFormat="1" ht="21.75" customHeight="1">
      <c r="A143" s="723"/>
      <c r="B143" s="1845"/>
      <c r="C143" s="1846"/>
      <c r="D143" s="1847"/>
      <c r="E143" s="1847"/>
      <c r="F143" s="1736"/>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7"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7"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7"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7"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7"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7"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7"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7"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7"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7"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7"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7"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7"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7"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7"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7"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7"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7"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7"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7"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7"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7"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7"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7"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7"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7"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7"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7"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7"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7"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7"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7"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7"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7"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7"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7"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7"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7"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7"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7"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7"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7"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7"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7"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7"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7"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7"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7"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7"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7"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7"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7"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7"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7"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7"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7"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7"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7"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7"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7"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7"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7"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7"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7"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7"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7"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7"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7"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7"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7"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7"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7"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7"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7"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7"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7"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7"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7"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7"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7"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7"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7"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7"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7"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7"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7"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7"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7"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7"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7"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7"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7"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7"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7"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7"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7"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7"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7"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7"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7"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7"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7"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7"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7"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34"/>
  <sheetViews>
    <sheetView workbookViewId="0">
      <selection activeCell="I10" sqref="I10:I11"/>
    </sheetView>
  </sheetViews>
  <sheetFormatPr defaultRowHeight="13.5"/>
  <sheetData>
    <row r="1" spans="1:11" ht="27.75" customHeight="1">
      <c r="B1" t="s">
        <v>3383</v>
      </c>
      <c r="C1" t="s">
        <v>3384</v>
      </c>
      <c r="K1" s="3476" t="s">
        <v>3616</v>
      </c>
    </row>
    <row r="2" spans="1:11">
      <c r="A2" t="s">
        <v>3385</v>
      </c>
      <c r="B2">
        <v>3996.73</v>
      </c>
      <c r="C2">
        <v>3515.45</v>
      </c>
      <c r="F2" s="3455" t="s">
        <v>3422</v>
      </c>
      <c r="I2" t="s">
        <v>3419</v>
      </c>
      <c r="J2" t="s">
        <v>3420</v>
      </c>
      <c r="K2" t="s">
        <v>3419</v>
      </c>
    </row>
    <row r="3" spans="1:11">
      <c r="A3" t="s">
        <v>3386</v>
      </c>
      <c r="B3">
        <v>3996.71</v>
      </c>
      <c r="C3">
        <v>63.75</v>
      </c>
      <c r="H3" t="s">
        <v>3382</v>
      </c>
      <c r="I3">
        <v>24</v>
      </c>
      <c r="J3">
        <v>5</v>
      </c>
      <c r="K3">
        <v>20</v>
      </c>
    </row>
    <row r="4" spans="1:11">
      <c r="A4" t="s">
        <v>3387</v>
      </c>
      <c r="B4">
        <v>152.22</v>
      </c>
      <c r="H4" t="s">
        <v>3395</v>
      </c>
      <c r="I4">
        <v>3</v>
      </c>
      <c r="J4">
        <v>0</v>
      </c>
      <c r="K4">
        <v>2</v>
      </c>
    </row>
    <row r="5" spans="1:11">
      <c r="A5" t="s">
        <v>3388</v>
      </c>
      <c r="B5">
        <v>2695.74</v>
      </c>
      <c r="C5">
        <v>43.17</v>
      </c>
      <c r="F5" t="s">
        <v>3383</v>
      </c>
      <c r="H5" t="s">
        <v>3408</v>
      </c>
      <c r="I5">
        <v>57000</v>
      </c>
      <c r="J5">
        <v>22000</v>
      </c>
      <c r="K5">
        <v>32000</v>
      </c>
    </row>
    <row r="6" spans="1:11">
      <c r="A6">
        <v>1</v>
      </c>
      <c r="B6">
        <v>2314.3200000000002</v>
      </c>
      <c r="C6">
        <v>42.93</v>
      </c>
      <c r="H6" t="s">
        <v>3382</v>
      </c>
      <c r="I6">
        <v>45000</v>
      </c>
      <c r="J6">
        <v>22000</v>
      </c>
      <c r="K6">
        <v>26000</v>
      </c>
    </row>
    <row r="7" spans="1:11">
      <c r="A7">
        <v>2</v>
      </c>
      <c r="B7">
        <v>2091.71</v>
      </c>
      <c r="H7" t="s">
        <v>3395</v>
      </c>
      <c r="I7">
        <v>12000</v>
      </c>
      <c r="J7" t="s">
        <v>3421</v>
      </c>
      <c r="K7">
        <v>6000</v>
      </c>
    </row>
    <row r="8" spans="1:11">
      <c r="A8">
        <v>3</v>
      </c>
      <c r="B8">
        <v>2095.34</v>
      </c>
      <c r="F8" t="s">
        <v>3409</v>
      </c>
      <c r="G8" t="s">
        <v>3410</v>
      </c>
      <c r="I8">
        <f>I9+I12+I13</f>
        <v>5893</v>
      </c>
      <c r="J8">
        <v>5920</v>
      </c>
      <c r="K8">
        <v>4402</v>
      </c>
    </row>
    <row r="9" spans="1:11" ht="13.5" customHeight="1">
      <c r="A9">
        <v>4</v>
      </c>
      <c r="B9">
        <v>2095.34</v>
      </c>
      <c r="G9" s="3672" t="s">
        <v>3411</v>
      </c>
      <c r="H9" t="s">
        <v>3408</v>
      </c>
      <c r="I9">
        <v>3061</v>
      </c>
      <c r="J9">
        <v>1795</v>
      </c>
      <c r="K9">
        <v>2273</v>
      </c>
    </row>
    <row r="10" spans="1:11">
      <c r="A10">
        <v>5</v>
      </c>
      <c r="B10">
        <v>2095.34</v>
      </c>
      <c r="D10">
        <v>6851.3449999999993</v>
      </c>
      <c r="G10" s="3672"/>
      <c r="H10" t="s">
        <v>3382</v>
      </c>
      <c r="I10">
        <v>2440</v>
      </c>
      <c r="J10">
        <v>1795</v>
      </c>
      <c r="K10">
        <v>1670</v>
      </c>
    </row>
    <row r="11" spans="1:11">
      <c r="A11">
        <v>6</v>
      </c>
      <c r="B11">
        <v>2095.34</v>
      </c>
      <c r="G11" s="3672"/>
      <c r="H11" t="s">
        <v>3395</v>
      </c>
      <c r="I11">
        <v>5390</v>
      </c>
      <c r="J11" t="s">
        <v>3421</v>
      </c>
      <c r="K11">
        <v>4887</v>
      </c>
    </row>
    <row r="12" spans="1:11">
      <c r="A12">
        <v>7</v>
      </c>
      <c r="B12">
        <v>2095.34</v>
      </c>
      <c r="G12" t="s">
        <v>3412</v>
      </c>
      <c r="I12">
        <v>474</v>
      </c>
      <c r="J12">
        <v>700</v>
      </c>
      <c r="K12">
        <v>569</v>
      </c>
    </row>
    <row r="13" spans="1:11">
      <c r="A13">
        <v>8</v>
      </c>
      <c r="B13">
        <v>2095.34</v>
      </c>
      <c r="G13" t="s">
        <v>3413</v>
      </c>
      <c r="I13">
        <v>2358</v>
      </c>
      <c r="J13">
        <v>3425</v>
      </c>
      <c r="K13">
        <v>1560</v>
      </c>
    </row>
    <row r="14" spans="1:11">
      <c r="A14">
        <v>9</v>
      </c>
      <c r="B14">
        <v>1614.81</v>
      </c>
    </row>
    <row r="15" spans="1:11">
      <c r="A15">
        <v>10</v>
      </c>
      <c r="B15">
        <v>1614.81</v>
      </c>
      <c r="G15" t="s">
        <v>3414</v>
      </c>
    </row>
    <row r="16" spans="1:11">
      <c r="A16">
        <v>11</v>
      </c>
      <c r="B16">
        <v>1614.81</v>
      </c>
    </row>
    <row r="17" spans="1:11">
      <c r="A17">
        <v>12</v>
      </c>
      <c r="B17">
        <v>1614.81</v>
      </c>
      <c r="G17" t="s">
        <v>3415</v>
      </c>
    </row>
    <row r="18" spans="1:11">
      <c r="A18">
        <v>13</v>
      </c>
      <c r="B18">
        <v>1614.81</v>
      </c>
      <c r="G18" t="s">
        <v>3416</v>
      </c>
      <c r="I18">
        <v>0.51942983200407267</v>
      </c>
      <c r="J18">
        <v>0.30320945945945948</v>
      </c>
      <c r="K18">
        <v>0.516356201726488</v>
      </c>
    </row>
    <row r="19" spans="1:11">
      <c r="A19">
        <v>14</v>
      </c>
      <c r="B19">
        <v>1321.25</v>
      </c>
      <c r="G19" t="s">
        <v>3412</v>
      </c>
      <c r="I19">
        <v>8.0434413711182762E-2</v>
      </c>
      <c r="J19">
        <v>0.11824324324324324</v>
      </c>
      <c r="K19">
        <v>0.12925942753293956</v>
      </c>
    </row>
    <row r="20" spans="1:11">
      <c r="A20">
        <v>15</v>
      </c>
      <c r="B20">
        <v>1321.25</v>
      </c>
      <c r="G20" t="s">
        <v>3417</v>
      </c>
      <c r="I20">
        <v>0.40013575428474463</v>
      </c>
      <c r="J20">
        <v>0.57854729729729726</v>
      </c>
      <c r="K20">
        <v>0.35438437074057244</v>
      </c>
    </row>
    <row r="21" spans="1:11">
      <c r="A21">
        <v>16</v>
      </c>
      <c r="B21">
        <v>1321.25</v>
      </c>
      <c r="G21" t="s">
        <v>3418</v>
      </c>
    </row>
    <row r="22" spans="1:11">
      <c r="A22">
        <v>17</v>
      </c>
      <c r="B22">
        <v>1614.81</v>
      </c>
    </row>
    <row r="23" spans="1:11">
      <c r="A23">
        <v>18</v>
      </c>
      <c r="B23">
        <v>1619.21</v>
      </c>
    </row>
    <row r="24" spans="1:11">
      <c r="A24" t="s">
        <v>3389</v>
      </c>
      <c r="B24">
        <v>23.51</v>
      </c>
    </row>
    <row r="25" spans="1:11">
      <c r="A25" t="s">
        <v>3390</v>
      </c>
      <c r="B25">
        <v>258.45999999999998</v>
      </c>
    </row>
    <row r="26" spans="1:11">
      <c r="B26">
        <v>43373.26</v>
      </c>
      <c r="C26">
        <v>3665.2999999999997</v>
      </c>
      <c r="D26">
        <v>39707.96</v>
      </c>
    </row>
    <row r="29" spans="1:11">
      <c r="B29" t="s">
        <v>3391</v>
      </c>
      <c r="C29">
        <v>32206.960000000006</v>
      </c>
      <c r="E29">
        <f>I10</f>
        <v>2440</v>
      </c>
    </row>
    <row r="30" spans="1:11">
      <c r="B30" t="s">
        <v>3392</v>
      </c>
      <c r="C30">
        <v>281.96999999999997</v>
      </c>
    </row>
    <row r="31" spans="1:11">
      <c r="B31" t="s">
        <v>3393</v>
      </c>
      <c r="C31">
        <v>7219.03</v>
      </c>
      <c r="D31">
        <v>126</v>
      </c>
      <c r="E31">
        <f>I11</f>
        <v>5390</v>
      </c>
    </row>
    <row r="32" spans="1:11">
      <c r="B32" t="s">
        <v>3394</v>
      </c>
      <c r="C32">
        <v>0</v>
      </c>
    </row>
    <row r="33" spans="3:7">
      <c r="C33">
        <v>39707.960000000006</v>
      </c>
      <c r="E33">
        <f>ROUND((E29*C29+E31*C31)/C33,0)</f>
        <v>2959</v>
      </c>
      <c r="F33">
        <f>I12</f>
        <v>474</v>
      </c>
      <c r="G33">
        <f>I13</f>
        <v>2358</v>
      </c>
    </row>
    <row r="34" spans="3:7">
      <c r="E34">
        <f>E33+F33+G33</f>
        <v>5791</v>
      </c>
    </row>
  </sheetData>
  <mergeCells count="1">
    <mergeCell ref="G9:G1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88" t="str">
        <f>项目基本情况!B1</f>
        <v>北京市预评估</v>
      </c>
      <c r="C37" s="3488"/>
      <c r="D37" s="3488"/>
      <c r="E37" s="3488"/>
      <c r="F37" s="3488"/>
      <c r="G37" s="3488"/>
      <c r="H37" s="3488"/>
      <c r="I37" s="3488"/>
    </row>
    <row r="38" spans="1:9">
      <c r="A38" s="842"/>
      <c r="B38" s="842"/>
    </row>
    <row r="39" spans="1:9">
      <c r="A39" s="840" t="s">
        <v>371</v>
      </c>
      <c r="B39" s="840" t="s">
        <v>373</v>
      </c>
    </row>
    <row r="40" spans="1:9">
      <c r="A40" s="840"/>
      <c r="B40" s="1469">
        <f>项目基本情况!B5</f>
        <v>0</v>
      </c>
    </row>
    <row r="41" spans="1:9">
      <c r="A41" s="840"/>
      <c r="B41" s="840"/>
    </row>
    <row r="42" spans="1:9">
      <c r="A42" s="840" t="s">
        <v>371</v>
      </c>
      <c r="B42" s="840" t="s">
        <v>374</v>
      </c>
    </row>
    <row r="43" spans="1:9">
      <c r="A43" s="840"/>
      <c r="B43" s="1469" t="s">
        <v>375</v>
      </c>
    </row>
    <row r="44" spans="1:9">
      <c r="A44" s="840"/>
      <c r="B44" s="840"/>
    </row>
    <row r="45" spans="1:9">
      <c r="A45" s="840" t="s">
        <v>371</v>
      </c>
      <c r="B45" s="840" t="s">
        <v>376</v>
      </c>
    </row>
    <row r="46" spans="1:9" s="840" customFormat="1" ht="12.75">
      <c r="B46" s="1469" t="str">
        <f>项目基本情况!K4</f>
        <v>（注册号：0)、（注册号：0)</v>
      </c>
    </row>
    <row r="47" spans="1:9">
      <c r="A47" s="840"/>
      <c r="B47" s="840" t="str">
        <f>项目基本情况!K5</f>
        <v>（注册号：0)、（注册号：0)</v>
      </c>
    </row>
    <row r="48" spans="1:9">
      <c r="A48" s="840" t="s">
        <v>371</v>
      </c>
      <c r="B48" s="840"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33" sqref="C33"/>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5"/>
      <c r="C1" s="197"/>
      <c r="D1" s="197"/>
      <c r="E1" s="197"/>
      <c r="F1" s="197"/>
      <c r="G1" s="1122">
        <f>MATCH(B1,'数据-取费表'!A6:A16,0)+5</f>
        <v>8</v>
      </c>
    </row>
    <row r="2" spans="1:9" s="199" customFormat="1" ht="18" customHeight="1">
      <c r="A2" s="200" t="s">
        <v>1460</v>
      </c>
      <c r="B2" s="201">
        <f ca="1">IF(D2="——",C52,C52-E2)</f>
        <v>68305</v>
      </c>
      <c r="C2" s="198" t="s">
        <v>1461</v>
      </c>
      <c r="D2" s="1848" t="s">
        <v>43</v>
      </c>
      <c r="E2" s="1165" t="e">
        <f ca="1">SUMIF(INDIRECT("'"&amp;G2&amp;"'"&amp;"!A:A"),"承租人权益价值",INDIRECT("'"&amp;G2&amp;"'"&amp;"!c:c"))</f>
        <v>#REF!</v>
      </c>
      <c r="F2" s="1849" t="s">
        <v>1461</v>
      </c>
      <c r="G2" s="1850"/>
    </row>
    <row r="3" spans="1:9" s="199" customFormat="1" ht="18" customHeight="1" thickBot="1">
      <c r="A3" s="202" t="s">
        <v>1462</v>
      </c>
      <c r="B3" s="203">
        <f ca="1">ROUND(B2*10000/(IF(B1="",'数据-汇总表'!E3,INDIRECT("'数据-取费表'!k"&amp;$G$1))),0)</f>
        <v>17202</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C6+C7+C8</f>
        <v>31863</v>
      </c>
      <c r="D5" s="210" t="s">
        <v>1467</v>
      </c>
      <c r="E5" s="211" t="s">
        <v>1468</v>
      </c>
      <c r="F5" s="211" t="s">
        <v>1469</v>
      </c>
      <c r="G5" s="212"/>
    </row>
    <row r="6" spans="1:9" s="213" customFormat="1" ht="13.5" customHeight="1">
      <c r="A6" s="776" t="s">
        <v>1470</v>
      </c>
      <c r="B6" s="214" t="s">
        <v>1471</v>
      </c>
      <c r="C6" s="215">
        <f>'土地比较法-住宅、综合'!B2</f>
        <v>30149</v>
      </c>
      <c r="D6" s="216"/>
      <c r="E6" s="217"/>
      <c r="F6" s="217"/>
      <c r="G6" s="218"/>
    </row>
    <row r="7" spans="1:9" s="213" customFormat="1" ht="13.5" customHeight="1">
      <c r="A7" s="776" t="s">
        <v>1472</v>
      </c>
      <c r="B7" s="214" t="s">
        <v>1473</v>
      </c>
      <c r="C7" s="219">
        <f>ROUND(C6*F7,0)</f>
        <v>920</v>
      </c>
      <c r="D7" s="219"/>
      <c r="E7" s="217"/>
      <c r="F7" s="220">
        <f>IF(项目基本情况!B8="出让",0,'数据-取费表'!B48+'数据-取费表'!B49)</f>
        <v>3.0499999999999999E-2</v>
      </c>
      <c r="G7" s="218"/>
    </row>
    <row r="8" spans="1:9" s="222" customFormat="1">
      <c r="A8" s="776" t="s">
        <v>1474</v>
      </c>
      <c r="B8" s="214" t="s">
        <v>1475</v>
      </c>
      <c r="C8" s="219">
        <f>IF(G8="已包含在土地购买价格中","0",IF(B1="",'数据-取费表'!B29,IF(G9="全部缴纳",C9+C10,H9)))</f>
        <v>794</v>
      </c>
      <c r="D8" s="221"/>
      <c r="E8" s="219"/>
      <c r="F8" s="220"/>
      <c r="G8" s="1851" t="s">
        <v>3599</v>
      </c>
    </row>
    <row r="9" spans="1:9" s="213" customFormat="1" ht="13.5" customHeight="1">
      <c r="A9" s="777" t="s">
        <v>355</v>
      </c>
      <c r="B9" s="223" t="s">
        <v>1476</v>
      </c>
      <c r="C9" s="224">
        <f ca="1">ROUND(D9*E9/10000,0)</f>
        <v>0</v>
      </c>
      <c r="D9" s="843">
        <f ca="1">IF(B1="",'数据-汇总表'!E5,IF(INDIRECT("'数据-取费表'!c"&amp;$G$1)="住宅",INDIRECT("'数据-取费表'!k"&amp;$G$1),0))</f>
        <v>0</v>
      </c>
      <c r="E9" s="224">
        <f>'数据-取费表'!B27</f>
        <v>0</v>
      </c>
      <c r="F9" s="220"/>
      <c r="G9" s="1852" t="s">
        <v>3600</v>
      </c>
      <c r="H9" s="1133"/>
      <c r="I9" s="1853" t="s">
        <v>1477</v>
      </c>
    </row>
    <row r="10" spans="1:9" s="213" customFormat="1" ht="13.5" customHeight="1">
      <c r="A10" s="777" t="s">
        <v>356</v>
      </c>
      <c r="B10" s="223" t="s">
        <v>1478</v>
      </c>
      <c r="C10" s="224">
        <f ca="1">ROUND(D10*E10/10000,0)</f>
        <v>794</v>
      </c>
      <c r="D10" s="843">
        <f ca="1">IF(B1="",'数据-汇总表'!E6,IF(INDIRECT("'数据-取费表'!c"&amp;$G$1)="住宅",INDIRECT("'数据-取费表'!s"&amp;$G$1),INDIRECT("'数据-取费表'!k"&amp;$G$1)+INDIRECT("'数据-取费表'!s"&amp;$G$1)))</f>
        <v>39707.960000000006</v>
      </c>
      <c r="E10" s="224">
        <f>'数据-取费表'!B28</f>
        <v>200</v>
      </c>
      <c r="F10" s="220"/>
      <c r="G10" s="225"/>
    </row>
    <row r="11" spans="1:9" s="213" customFormat="1" ht="13.5" hidden="1" customHeight="1">
      <c r="A11" s="226" t="s">
        <v>4</v>
      </c>
      <c r="B11" s="214" t="s">
        <v>1479</v>
      </c>
      <c r="C11" s="210"/>
      <c r="D11" s="845"/>
      <c r="E11" s="217"/>
      <c r="F11" s="217"/>
      <c r="G11" s="218"/>
    </row>
    <row r="12" spans="1:9" s="213" customFormat="1" ht="13.5" hidden="1" customHeight="1">
      <c r="A12" s="226" t="s">
        <v>5</v>
      </c>
      <c r="B12" s="214" t="s">
        <v>1480</v>
      </c>
      <c r="C12" s="210">
        <v>0</v>
      </c>
      <c r="D12" s="845"/>
      <c r="E12" s="227"/>
      <c r="F12" s="220">
        <v>3.0499999999999999E-2</v>
      </c>
      <c r="G12" s="218"/>
    </row>
    <row r="13" spans="1:9" s="213" customFormat="1" ht="13.5" hidden="1" customHeight="1">
      <c r="A13" s="226" t="s">
        <v>6</v>
      </c>
      <c r="B13" s="214" t="s">
        <v>1481</v>
      </c>
      <c r="C13" s="210"/>
      <c r="D13" s="845"/>
      <c r="E13" s="217"/>
      <c r="F13" s="217"/>
      <c r="G13" s="218"/>
    </row>
    <row r="14" spans="1:9" s="213" customFormat="1" ht="13.5" hidden="1" customHeight="1">
      <c r="A14" s="226" t="s">
        <v>7</v>
      </c>
      <c r="B14" s="214" t="s">
        <v>1482</v>
      </c>
      <c r="C14" s="210"/>
      <c r="D14" s="845"/>
      <c r="E14" s="217"/>
      <c r="F14" s="217"/>
      <c r="G14" s="218" t="s">
        <v>1483</v>
      </c>
    </row>
    <row r="15" spans="1:9" s="213" customFormat="1" ht="13.5" hidden="1" customHeight="1">
      <c r="A15" s="226" t="s">
        <v>8</v>
      </c>
      <c r="B15" s="214" t="s">
        <v>1484</v>
      </c>
      <c r="C15" s="219"/>
      <c r="D15" s="845"/>
      <c r="E15" s="217"/>
      <c r="F15" s="217"/>
      <c r="G15" s="218" t="s">
        <v>1485</v>
      </c>
    </row>
    <row r="16" spans="1:9" s="213" customFormat="1" ht="13.5" hidden="1" customHeight="1">
      <c r="A16" s="226" t="s">
        <v>9</v>
      </c>
      <c r="B16" s="214" t="s">
        <v>1482</v>
      </c>
      <c r="C16" s="219"/>
      <c r="D16" s="845"/>
      <c r="E16" s="217"/>
      <c r="F16" s="217"/>
      <c r="G16" s="218"/>
    </row>
    <row r="17" spans="1:7" s="213" customFormat="1" ht="13.5" hidden="1" customHeight="1">
      <c r="A17" s="226" t="s">
        <v>10</v>
      </c>
      <c r="B17" s="214" t="s">
        <v>1486</v>
      </c>
      <c r="C17" s="228"/>
      <c r="D17" s="846"/>
      <c r="E17" s="228"/>
      <c r="F17" s="228"/>
      <c r="G17" s="218" t="s">
        <v>1485</v>
      </c>
    </row>
    <row r="18" spans="1:7" s="213" customFormat="1" ht="13.5" hidden="1" customHeight="1">
      <c r="A18" s="226" t="s">
        <v>11</v>
      </c>
      <c r="B18" s="214" t="s">
        <v>1487</v>
      </c>
      <c r="C18" s="219">
        <v>0</v>
      </c>
      <c r="D18" s="845"/>
      <c r="E18" s="217"/>
      <c r="F18" s="220">
        <v>3.0499999999999999E-2</v>
      </c>
      <c r="G18" s="218" t="s">
        <v>1488</v>
      </c>
    </row>
    <row r="19" spans="1:7" s="222" customFormat="1" ht="13.5" customHeight="1">
      <c r="A19" s="254" t="s">
        <v>1489</v>
      </c>
      <c r="B19" s="209" t="s">
        <v>1490</v>
      </c>
      <c r="C19" s="210" t="str">
        <f>IF(G19="已包含在土地取得成本中","0",ROUND(D19*E19/10000,0))</f>
        <v>0</v>
      </c>
      <c r="D19" s="847">
        <f ca="1">D9+D10</f>
        <v>39707.960000000006</v>
      </c>
      <c r="E19" s="210">
        <f>'数据-取费表'!B31</f>
        <v>200</v>
      </c>
      <c r="F19" s="230"/>
      <c r="G19" s="1851" t="s">
        <v>3601</v>
      </c>
    </row>
    <row r="20" spans="1:7" s="213" customFormat="1" ht="13.5" customHeight="1">
      <c r="A20" s="254" t="s">
        <v>1491</v>
      </c>
      <c r="B20" s="209" t="s">
        <v>1492</v>
      </c>
      <c r="C20" s="231">
        <f>ROUND((C5+C19)*F20,0)</f>
        <v>637</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0">
        <f ca="1">ROUND(SUM(C23:C25),0)</f>
        <v>2258</v>
      </c>
      <c r="D22" s="234">
        <f ca="1">C26</f>
        <v>6.9999999999999999E-4</v>
      </c>
      <c r="E22" s="235" t="s">
        <v>1496</v>
      </c>
      <c r="F22" s="236">
        <f ca="1">'数据-取费表'!B40</f>
        <v>3.4500000000000003E-2</v>
      </c>
      <c r="G22" s="233" t="str">
        <f>IF('数据-取费表'!B22&lt;=1,"单利计息","复利计息")</f>
        <v>复利计息</v>
      </c>
    </row>
    <row r="23" spans="1:7" s="213" customFormat="1" ht="13.5" customHeight="1">
      <c r="A23" s="778" t="s">
        <v>1500</v>
      </c>
      <c r="B23" s="214" t="s">
        <v>1501</v>
      </c>
      <c r="C23" s="1101">
        <f ca="1">ROUND(IF('数据-取费表'!B22&lt;=1,C5*F22*'数据-取费表'!B23,C5*(POWER((1+F22),'数据-取费表'!B23)-1)),0)</f>
        <v>2236</v>
      </c>
      <c r="D23" s="237"/>
      <c r="E23" s="237"/>
      <c r="F23" s="238"/>
      <c r="G23" s="239" t="s">
        <v>1502</v>
      </c>
    </row>
    <row r="24" spans="1:7" s="213" customFormat="1" ht="13.5" customHeight="1">
      <c r="A24" s="778" t="s">
        <v>1503</v>
      </c>
      <c r="B24" s="214" t="s">
        <v>1504</v>
      </c>
      <c r="C24" s="1101">
        <f ca="1">ROUND(IF('数据-取费表'!B22&lt;=1,C19*F22*('数据-取费表'!B19/2+'数据-取费表'!B21),C19*(POWER((1+F22),('数据-取费表'!B19/2+'数据-取费表'!B21))-1)),0)</f>
        <v>0</v>
      </c>
      <c r="D24" s="237"/>
      <c r="E24" s="237"/>
      <c r="F24" s="238"/>
      <c r="G24" s="239" t="s">
        <v>1505</v>
      </c>
    </row>
    <row r="25" spans="1:7" s="213" customFormat="1" ht="24">
      <c r="A25" s="778" t="s">
        <v>1506</v>
      </c>
      <c r="B25" s="214" t="s">
        <v>1507</v>
      </c>
      <c r="C25" s="1101">
        <f ca="1">ROUND(IF('数据-取费表'!B22&lt;=1,C20*F22*'数据-取费表'!B23/2,C20*(POWER((1+F22),'数据-取费表'!B23/2)-1)),0)</f>
        <v>22</v>
      </c>
      <c r="D25" s="237"/>
      <c r="E25" s="240"/>
      <c r="F25" s="238"/>
      <c r="G25" s="241" t="s">
        <v>1508</v>
      </c>
    </row>
    <row r="26" spans="1:7" s="213" customFormat="1">
      <c r="A26" s="778" t="s">
        <v>350</v>
      </c>
      <c r="B26" s="214" t="s">
        <v>1509</v>
      </c>
      <c r="C26" s="237">
        <f ca="1">ROUND(IF('数据-取费表'!B22&lt;=1,F21*F22*'数据-取费表'!B23/2,F21*(POWER((1+F22),'数据-取费表'!B23/2)-1)),4)</f>
        <v>6.9999999999999999E-4</v>
      </c>
      <c r="D26" s="237"/>
      <c r="E26" s="240"/>
      <c r="F26" s="238"/>
      <c r="G26" s="242"/>
    </row>
    <row r="27" spans="1:7" s="213" customFormat="1" ht="24.75">
      <c r="A27" s="254" t="s">
        <v>1510</v>
      </c>
      <c r="B27" s="243" t="s">
        <v>1511</v>
      </c>
      <c r="C27" s="244">
        <f ca="1">C28</f>
        <v>4225</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ROUND((C5+C19+C20)*F27*'数据-取费表'!B21/'数据-取费表'!B20,0)</f>
        <v>4225</v>
      </c>
      <c r="D28" s="234"/>
      <c r="E28" s="235"/>
      <c r="F28" s="245"/>
      <c r="G28" s="246"/>
    </row>
    <row r="29" spans="1:7" s="213" customFormat="1" ht="13.5" customHeight="1">
      <c r="A29" s="778" t="s">
        <v>347</v>
      </c>
      <c r="B29" s="247" t="s">
        <v>1515</v>
      </c>
      <c r="C29" s="237">
        <f ca="1">ROUND(C21*F27*'数据-取费表'!B21/'数据-取费表'!B20,4)</f>
        <v>2.5999999999999999E-3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42217</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23046</v>
      </c>
      <c r="D33" s="231"/>
      <c r="E33" s="211"/>
      <c r="F33" s="240"/>
      <c r="G33" s="233"/>
    </row>
    <row r="34" spans="1:7" s="257" customFormat="1" ht="13.5" customHeight="1">
      <c r="A34" s="778" t="s">
        <v>346</v>
      </c>
      <c r="B34" s="214" t="s">
        <v>1523</v>
      </c>
      <c r="C34" s="219">
        <f ca="1">IF(B1="",IF(F34=100%,'数据-取费表'!M16,'数据-取费表'!O16),IF(F34=100%,INDIRECT("'数据-取费表'!m"&amp;$G$1)+INDIRECT("'数据-取费表'!t"&amp;$G$1),INDIRECT("'数据-取费表'!o"&amp;$G$1)+INDIRECT("'数据-取费表'!aq"&amp;$G$1)))</f>
        <v>20992</v>
      </c>
      <c r="D34" s="216"/>
      <c r="E34" s="219"/>
      <c r="F34" s="256">
        <f ca="1">IF('数据-取费表'!B24=0,1,IF(B1="",'数据-取费表'!N16,INDIRECT("'数据-取费表'!n"&amp;$G$1)))</f>
        <v>1</v>
      </c>
      <c r="G34" s="218" t="s">
        <v>1524</v>
      </c>
    </row>
    <row r="35" spans="1:7" ht="13.5" customHeight="1">
      <c r="A35" s="778" t="s">
        <v>351</v>
      </c>
      <c r="B35" s="214" t="s">
        <v>1525</v>
      </c>
      <c r="C35" s="219">
        <f ca="1">ROUND(C34*F35,0)</f>
        <v>840</v>
      </c>
      <c r="D35" s="219"/>
      <c r="E35" s="219"/>
      <c r="F35" s="258">
        <f>'数据-取费表'!B33</f>
        <v>0.04</v>
      </c>
      <c r="G35" s="218" t="s">
        <v>1526</v>
      </c>
    </row>
    <row r="36" spans="1:7" ht="24">
      <c r="A36" s="778"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8" t="s">
        <v>353</v>
      </c>
      <c r="B37" s="214" t="s">
        <v>1529</v>
      </c>
      <c r="C37" s="248">
        <f ca="1">ROUND(E37*D37*F34/10000,0)</f>
        <v>794</v>
      </c>
      <c r="D37" s="216">
        <f ca="1">D19</f>
        <v>39707.960000000006</v>
      </c>
      <c r="E37" s="248">
        <f>'数据-取费表'!B35</f>
        <v>200</v>
      </c>
      <c r="F37" s="258"/>
      <c r="G37" s="260" t="s">
        <v>1530</v>
      </c>
    </row>
    <row r="38" spans="1:7" ht="13.5" customHeight="1">
      <c r="A38" s="778" t="s">
        <v>354</v>
      </c>
      <c r="B38" s="214" t="s">
        <v>1531</v>
      </c>
      <c r="C38" s="219">
        <f ca="1">ROUND(C34*F38,0)</f>
        <v>420</v>
      </c>
      <c r="D38" s="219"/>
      <c r="E38" s="219"/>
      <c r="F38" s="258">
        <f>'数据-取费表'!B36</f>
        <v>0.02</v>
      </c>
      <c r="G38" s="218" t="s">
        <v>1526</v>
      </c>
    </row>
    <row r="39" spans="1:7" s="213" customFormat="1" ht="13.5" customHeight="1">
      <c r="A39" s="254" t="s">
        <v>1532</v>
      </c>
      <c r="B39" s="209" t="s">
        <v>1533</v>
      </c>
      <c r="C39" s="231">
        <f ca="1">ROUND(C33*F20,0)</f>
        <v>461</v>
      </c>
      <c r="D39" s="231"/>
      <c r="E39" s="231"/>
      <c r="F39" s="232">
        <f>F20</f>
        <v>0.02</v>
      </c>
      <c r="G39" s="233" t="s">
        <v>1534</v>
      </c>
    </row>
    <row r="40" spans="1:7" s="213" customFormat="1" ht="13.5" customHeight="1">
      <c r="A40" s="254" t="s">
        <v>1535</v>
      </c>
      <c r="B40" s="209" t="s">
        <v>1536</v>
      </c>
      <c r="C40" s="1322">
        <f>F21</f>
        <v>0.02</v>
      </c>
      <c r="D40" s="235" t="s">
        <v>1537</v>
      </c>
      <c r="E40" s="231"/>
      <c r="F40" s="232">
        <f>F21</f>
        <v>0.02</v>
      </c>
      <c r="G40" s="233" t="s">
        <v>1538</v>
      </c>
    </row>
    <row r="41" spans="1:7" s="213" customFormat="1" ht="13.5" customHeight="1">
      <c r="A41" s="254" t="s">
        <v>1539</v>
      </c>
      <c r="B41" s="209" t="s">
        <v>1540</v>
      </c>
      <c r="C41" s="231">
        <f ca="1">ROUND(SUM(C42:C43),0)</f>
        <v>811</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ROUND(IF('数据-取费表'!B22&lt;=1,C33*F22*'数据-取费表'!B21/2,C33*(POWER((1+F22),'数据-取费表'!B21/2)-1)),0)</f>
        <v>795</v>
      </c>
      <c r="D42" s="237"/>
      <c r="E42" s="237"/>
      <c r="F42" s="238"/>
      <c r="G42" s="3673" t="s">
        <v>1542</v>
      </c>
    </row>
    <row r="43" spans="1:7" ht="13.5" customHeight="1">
      <c r="A43" s="778" t="s">
        <v>347</v>
      </c>
      <c r="B43" s="214" t="s">
        <v>1543</v>
      </c>
      <c r="C43" s="237">
        <f ca="1">ROUND(IF('数据-取费表'!B22&lt;=1,C39*F22*'数据-取费表'!B21/2,C39*(POWER((1+F22),'数据-取费表'!B21/2)-1)),0)</f>
        <v>16</v>
      </c>
      <c r="D43" s="237"/>
      <c r="E43" s="237"/>
      <c r="F43" s="238"/>
      <c r="G43" s="3674"/>
    </row>
    <row r="44" spans="1:7" ht="13.5" customHeight="1">
      <c r="A44" s="778" t="s">
        <v>348</v>
      </c>
      <c r="B44" s="214" t="s">
        <v>1544</v>
      </c>
      <c r="C44" s="237">
        <f ca="1">ROUND(IF('数据-取费表'!B22&lt;=1,C40*F22*'数据-取费表'!B21/2,C40*(POWER((1+F22),'数据-取费表'!B21/2)-1)),4)</f>
        <v>6.9999999999999999E-4</v>
      </c>
      <c r="D44" s="237"/>
      <c r="E44" s="237"/>
      <c r="F44" s="238"/>
      <c r="G44" s="3675"/>
    </row>
    <row r="45" spans="1:7" s="213" customFormat="1" ht="13.5" customHeight="1">
      <c r="A45" s="254" t="s">
        <v>1545</v>
      </c>
      <c r="B45" s="243" t="s">
        <v>1511</v>
      </c>
      <c r="C45" s="244">
        <f ca="1">C46</f>
        <v>3056</v>
      </c>
      <c r="D45" s="234">
        <f ca="1">C47</f>
        <v>2.5999999999999999E-3</v>
      </c>
      <c r="E45" s="235" t="s">
        <v>1537</v>
      </c>
      <c r="F45" s="245">
        <f ca="1">F27</f>
        <v>0.13</v>
      </c>
      <c r="G45" s="246" t="s">
        <v>1546</v>
      </c>
    </row>
    <row r="46" spans="1:7" s="213" customFormat="1" ht="13.5" customHeight="1">
      <c r="A46" s="778" t="s">
        <v>346</v>
      </c>
      <c r="B46" s="247" t="s">
        <v>1547</v>
      </c>
      <c r="C46" s="248">
        <f ca="1">ROUND((C33+C39)*F27,0)</f>
        <v>3056</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1322">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29645</v>
      </c>
      <c r="D49" s="231"/>
      <c r="E49" s="231"/>
      <c r="F49" s="263"/>
      <c r="G49" s="233" t="s">
        <v>1552</v>
      </c>
    </row>
    <row r="50" spans="1:7" s="257" customFormat="1" ht="24">
      <c r="A50" s="254" t="s">
        <v>1553</v>
      </c>
      <c r="B50" s="209" t="s">
        <v>1554</v>
      </c>
      <c r="C50" s="231"/>
      <c r="D50" s="231"/>
      <c r="E50" s="231"/>
      <c r="F50" s="263">
        <f>IF('数据-取费表'!B24=0,'数据-取费表'!N16,1)</f>
        <v>0.88</v>
      </c>
      <c r="G50" s="246" t="s">
        <v>1555</v>
      </c>
    </row>
    <row r="51" spans="1:7" ht="16.5" customHeight="1">
      <c r="A51" s="254" t="s">
        <v>1556</v>
      </c>
      <c r="B51" s="209" t="s">
        <v>1557</v>
      </c>
      <c r="C51" s="231">
        <f ca="1">ROUND(C49*F50,0)</f>
        <v>26088</v>
      </c>
      <c r="D51" s="231"/>
      <c r="E51" s="231"/>
      <c r="F51" s="263"/>
      <c r="G51" s="233" t="s">
        <v>1558</v>
      </c>
    </row>
    <row r="52" spans="1:7" s="207" customFormat="1" ht="16.5" thickBot="1">
      <c r="A52" s="264" t="s">
        <v>1559</v>
      </c>
      <c r="B52" s="265"/>
      <c r="C52" s="266">
        <f ca="1">C31+C51</f>
        <v>68305</v>
      </c>
      <c r="D52" s="265"/>
      <c r="E52" s="265"/>
      <c r="F52" s="265"/>
      <c r="G52" s="267"/>
    </row>
    <row r="55" spans="1:7" ht="15">
      <c r="B55" s="269" t="s">
        <v>1560</v>
      </c>
      <c r="C55" s="270"/>
    </row>
    <row r="56" spans="1:7">
      <c r="B56" s="272" t="s">
        <v>802</v>
      </c>
      <c r="C56" s="274">
        <f ca="1">1-C57</f>
        <v>0.61799999999999999</v>
      </c>
    </row>
    <row r="57" spans="1:7">
      <c r="B57" s="272" t="s">
        <v>803</v>
      </c>
      <c r="C57" s="273">
        <f ca="1">ROUND(C51/C52,3)</f>
        <v>0.38200000000000001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5"/>
      <c r="C1" s="1854" t="s">
        <v>1561</v>
      </c>
      <c r="D1" s="197"/>
      <c r="E1" s="197"/>
      <c r="F1" s="197"/>
      <c r="G1" s="1122">
        <f>MATCH(B1,'数据-取费表'!A6:A16,0)+5</f>
        <v>8</v>
      </c>
      <c r="H1" s="1057" t="str">
        <f>IF(ISERROR(FIND("住宅",B1)),"非住宅","住宅")</f>
        <v>非住宅</v>
      </c>
    </row>
    <row r="2" spans="1:8" s="199" customFormat="1" ht="18" customHeight="1">
      <c r="A2" s="200" t="s">
        <v>1460</v>
      </c>
      <c r="B2" s="3419">
        <f ca="1">ROUND(IF(D2="——",C52/10000,C52/10000-E2),4)</f>
        <v>28191.635600000001</v>
      </c>
      <c r="C2" s="198" t="s">
        <v>1461</v>
      </c>
      <c r="D2" s="1848" t="s">
        <v>43</v>
      </c>
      <c r="E2" s="1165" t="e">
        <f ca="1">SUMIF(INDIRECT("'"&amp;G2&amp;"'"&amp;"!A:A"),"承租人权益价值",INDIRECT("'"&amp;G2&amp;"'"&amp;"!c:c"))</f>
        <v>#REF!</v>
      </c>
      <c r="F2" s="1849" t="s">
        <v>1461</v>
      </c>
      <c r="G2" s="1850"/>
    </row>
    <row r="3" spans="1:8" s="199" customFormat="1" ht="18" customHeight="1" thickBot="1">
      <c r="A3" s="202" t="s">
        <v>1462</v>
      </c>
      <c r="B3" s="203">
        <f ca="1">ROUND(B2*10000/(IF(B1="",'数据-汇总表'!E3,INDIRECT("'数据-取费表'!k"&amp;$G$1))),0)</f>
        <v>7100</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7941592</v>
      </c>
      <c r="D5" s="210" t="s">
        <v>1467</v>
      </c>
      <c r="E5" s="211" t="s">
        <v>1468</v>
      </c>
      <c r="F5" s="211" t="s">
        <v>1469</v>
      </c>
      <c r="G5" s="212"/>
    </row>
    <row r="6" spans="1:8" s="213" customFormat="1" ht="13.5" customHeight="1">
      <c r="A6" s="776" t="s">
        <v>1470</v>
      </c>
      <c r="B6" s="214" t="s">
        <v>1471</v>
      </c>
      <c r="C6" s="215"/>
      <c r="D6" s="216"/>
      <c r="E6" s="217"/>
      <c r="F6" s="217"/>
      <c r="G6" s="218"/>
    </row>
    <row r="7" spans="1:8" s="213" customFormat="1" ht="13.5" customHeight="1">
      <c r="A7" s="776" t="s">
        <v>1472</v>
      </c>
      <c r="B7" s="214" t="s">
        <v>1473</v>
      </c>
      <c r="C7" s="219">
        <f>ROUND(C6*F7,0)</f>
        <v>0</v>
      </c>
      <c r="D7" s="219"/>
      <c r="E7" s="217"/>
      <c r="F7" s="220">
        <f>IF(项目基本情况!B8="出让",0,'数据-取费表'!B48+'数据-取费表'!B49)</f>
        <v>3.0499999999999999E-2</v>
      </c>
      <c r="G7" s="218"/>
    </row>
    <row r="8" spans="1:8" s="222" customFormat="1">
      <c r="A8" s="776" t="s">
        <v>1474</v>
      </c>
      <c r="B8" s="214" t="s">
        <v>1475</v>
      </c>
      <c r="C8" s="219">
        <f ca="1">IF(G8="已包含在土地购买价格中",0,C9+C10)</f>
        <v>7941592</v>
      </c>
      <c r="D8" s="221"/>
      <c r="E8" s="219"/>
      <c r="F8" s="220"/>
      <c r="G8" s="1851"/>
    </row>
    <row r="9" spans="1:8" s="213" customFormat="1" ht="13.5" customHeight="1">
      <c r="A9" s="777" t="s">
        <v>355</v>
      </c>
      <c r="B9" s="223" t="s">
        <v>1476</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1478</v>
      </c>
      <c r="C10" s="224">
        <f ca="1">ROUND(D10*E10,0)</f>
        <v>7941592</v>
      </c>
      <c r="D10" s="843">
        <f ca="1">IF(B1="",'数据-汇总表'!E6,IF(INDIRECT("'数据-取费表'!c"&amp;$G$1)="住宅",INDIRECT("'数据-取费表'!s"&amp;$G$1),INDIRECT("'数据-取费表'!k"&amp;$G$1)+INDIRECT("'数据-取费表'!s"&amp;$G$1)))</f>
        <v>39707.960000000006</v>
      </c>
      <c r="E10" s="224">
        <f>'数据-取费表'!B28</f>
        <v>200</v>
      </c>
      <c r="F10" s="220"/>
      <c r="G10" s="225"/>
    </row>
    <row r="11" spans="1:8" s="213" customFormat="1" ht="13.5" hidden="1" customHeight="1">
      <c r="A11" s="226" t="s">
        <v>4</v>
      </c>
      <c r="B11" s="214" t="s">
        <v>1479</v>
      </c>
      <c r="C11" s="210"/>
      <c r="D11" s="845"/>
      <c r="E11" s="217"/>
      <c r="F11" s="217"/>
      <c r="G11" s="218"/>
    </row>
    <row r="12" spans="1:8" s="213" customFormat="1" ht="13.5" hidden="1" customHeight="1">
      <c r="A12" s="226" t="s">
        <v>5</v>
      </c>
      <c r="B12" s="214" t="s">
        <v>1562</v>
      </c>
      <c r="C12" s="210">
        <v>0</v>
      </c>
      <c r="D12" s="845"/>
      <c r="E12" s="227"/>
      <c r="F12" s="220">
        <v>3.0499999999999999E-2</v>
      </c>
      <c r="G12" s="218"/>
    </row>
    <row r="13" spans="1:8" s="213" customFormat="1" ht="13.5" hidden="1" customHeight="1">
      <c r="A13" s="226" t="s">
        <v>6</v>
      </c>
      <c r="B13" s="214" t="s">
        <v>1563</v>
      </c>
      <c r="C13" s="210"/>
      <c r="D13" s="845"/>
      <c r="E13" s="217"/>
      <c r="F13" s="217"/>
      <c r="G13" s="218"/>
    </row>
    <row r="14" spans="1:8" s="213" customFormat="1" ht="13.5" hidden="1" customHeight="1">
      <c r="A14" s="226" t="s">
        <v>7</v>
      </c>
      <c r="B14" s="214" t="s">
        <v>1475</v>
      </c>
      <c r="C14" s="210"/>
      <c r="D14" s="845"/>
      <c r="E14" s="217"/>
      <c r="F14" s="217"/>
      <c r="G14" s="218" t="s">
        <v>1564</v>
      </c>
    </row>
    <row r="15" spans="1:8" s="213" customFormat="1" ht="13.5" hidden="1" customHeight="1">
      <c r="A15" s="226" t="s">
        <v>8</v>
      </c>
      <c r="B15" s="214" t="s">
        <v>1565</v>
      </c>
      <c r="C15" s="219"/>
      <c r="D15" s="845"/>
      <c r="E15" s="217"/>
      <c r="F15" s="217"/>
      <c r="G15" s="218" t="s">
        <v>1566</v>
      </c>
    </row>
    <row r="16" spans="1:8" s="213" customFormat="1" ht="13.5" hidden="1" customHeight="1">
      <c r="A16" s="226" t="s">
        <v>9</v>
      </c>
      <c r="B16" s="214" t="s">
        <v>1475</v>
      </c>
      <c r="C16" s="219"/>
      <c r="D16" s="845"/>
      <c r="E16" s="217"/>
      <c r="F16" s="217"/>
      <c r="G16" s="218"/>
    </row>
    <row r="17" spans="1:7" s="213" customFormat="1" ht="13.5" hidden="1" customHeight="1">
      <c r="A17" s="226" t="s">
        <v>10</v>
      </c>
      <c r="B17" s="214" t="s">
        <v>1567</v>
      </c>
      <c r="C17" s="228"/>
      <c r="D17" s="846"/>
      <c r="E17" s="228"/>
      <c r="F17" s="228"/>
      <c r="G17" s="218" t="s">
        <v>1566</v>
      </c>
    </row>
    <row r="18" spans="1:7" s="213" customFormat="1" ht="13.5" hidden="1" customHeight="1">
      <c r="A18" s="226" t="s">
        <v>11</v>
      </c>
      <c r="B18" s="214" t="s">
        <v>1568</v>
      </c>
      <c r="C18" s="219">
        <v>0</v>
      </c>
      <c r="D18" s="845"/>
      <c r="E18" s="217"/>
      <c r="F18" s="220">
        <v>3.0499999999999999E-2</v>
      </c>
      <c r="G18" s="218" t="s">
        <v>1569</v>
      </c>
    </row>
    <row r="19" spans="1:7" s="222" customFormat="1" ht="13.5" customHeight="1">
      <c r="A19" s="254" t="s">
        <v>1570</v>
      </c>
      <c r="B19" s="209" t="s">
        <v>1571</v>
      </c>
      <c r="C19" s="210">
        <f ca="1">IF(G19="已包含在土地取得成本中","0",ROUND(D19*E19,0))</f>
        <v>7941592</v>
      </c>
      <c r="D19" s="847">
        <f ca="1">D9+D10</f>
        <v>39707.960000000006</v>
      </c>
      <c r="E19" s="210">
        <f>'数据-取费表'!B31</f>
        <v>200</v>
      </c>
      <c r="F19" s="230"/>
      <c r="G19" s="1851"/>
    </row>
    <row r="20" spans="1:7" s="213" customFormat="1" ht="13.5" customHeight="1">
      <c r="A20" s="254" t="s">
        <v>1572</v>
      </c>
      <c r="B20" s="209" t="s">
        <v>1573</v>
      </c>
      <c r="C20" s="231">
        <f ca="1">ROUND((C5+C19)*F20,0)</f>
        <v>317664</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3">
        <f ca="1">ROUND(SUM(C23:C25),0)</f>
        <v>1125803</v>
      </c>
      <c r="D22" s="234">
        <f ca="1">C26</f>
        <v>6.9999999999999999E-4</v>
      </c>
      <c r="E22" s="235" t="s">
        <v>1577</v>
      </c>
      <c r="F22" s="236">
        <f ca="1">'数据-取费表'!B40</f>
        <v>3.4500000000000003E-2</v>
      </c>
      <c r="G22" s="233" t="str">
        <f>IF('数据-取费表'!B22&lt;=1,"单利计息","复利计息")</f>
        <v>复利计息</v>
      </c>
    </row>
    <row r="23" spans="1:7" s="213" customFormat="1" ht="13.5" customHeight="1">
      <c r="A23" s="778" t="s">
        <v>1470</v>
      </c>
      <c r="B23" s="214" t="s">
        <v>1581</v>
      </c>
      <c r="C23" s="1124">
        <f ca="1">ROUND(IF('数据-取费表'!B22&lt;=1,C5*F22*'数据-取费表'!B22,C5*(POWER((1+F22),'数据-取费表'!B22)-1)),0)</f>
        <v>557422</v>
      </c>
      <c r="D23" s="237"/>
      <c r="E23" s="237"/>
      <c r="F23" s="238"/>
      <c r="G23" s="239" t="s">
        <v>1582</v>
      </c>
    </row>
    <row r="24" spans="1:7" s="213" customFormat="1" ht="13.5" customHeight="1">
      <c r="A24" s="778" t="s">
        <v>1472</v>
      </c>
      <c r="B24" s="214" t="s">
        <v>1583</v>
      </c>
      <c r="C24" s="1124">
        <f ca="1">ROUND(IF('数据-取费表'!B22&lt;=1,C19*F22*('数据-取费表'!B19/2+'数据-取费表'!B20),C19*(POWER((1+F22),('数据-取费表'!B19/2+'数据-取费表'!B20))-1)),0)</f>
        <v>557422</v>
      </c>
      <c r="D24" s="237"/>
      <c r="E24" s="237"/>
      <c r="F24" s="238"/>
      <c r="G24" s="239" t="s">
        <v>1584</v>
      </c>
    </row>
    <row r="25" spans="1:7" s="213" customFormat="1" ht="24">
      <c r="A25" s="778" t="s">
        <v>1474</v>
      </c>
      <c r="B25" s="214" t="s">
        <v>1585</v>
      </c>
      <c r="C25" s="1124">
        <f ca="1">ROUND(IF('数据-取费表'!B22&lt;=1,C20*F22*'数据-取费表'!B22/2,C20*(POWER((1+F22),'数据-取费表'!B22/2)-1)),0)</f>
        <v>10959</v>
      </c>
      <c r="D25" s="237"/>
      <c r="E25" s="240"/>
      <c r="F25" s="238"/>
      <c r="G25" s="241" t="s">
        <v>1586</v>
      </c>
    </row>
    <row r="26" spans="1:7" s="213" customFormat="1">
      <c r="A26" s="778" t="s">
        <v>350</v>
      </c>
      <c r="B26" s="214" t="s">
        <v>1509</v>
      </c>
      <c r="C26" s="237">
        <f ca="1">ROUND(IF('数据-取费表'!B22&lt;=1,F21*F22*'数据-取费表'!B22/2,F21*(POWER((1+F22),'数据-取费表'!B22/2)-1)),4)</f>
        <v>6.9999999999999999E-4</v>
      </c>
      <c r="D26" s="237"/>
      <c r="E26" s="240"/>
      <c r="F26" s="238"/>
      <c r="G26" s="242"/>
    </row>
    <row r="27" spans="1:7" s="213" customFormat="1" ht="24.75">
      <c r="A27" s="254" t="s">
        <v>1510</v>
      </c>
      <c r="B27" s="243" t="s">
        <v>1511</v>
      </c>
      <c r="C27" s="244">
        <f ca="1">C28</f>
        <v>2106110</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ROUND((C5+C19+C20)*F27,0)</f>
        <v>2106110</v>
      </c>
      <c r="D28" s="234"/>
      <c r="E28" s="235"/>
      <c r="F28" s="245"/>
      <c r="G28" s="246"/>
    </row>
    <row r="29" spans="1:7" s="213" customFormat="1" ht="13.5" customHeight="1">
      <c r="A29" s="778" t="s">
        <v>347</v>
      </c>
      <c r="B29" s="247" t="s">
        <v>1515</v>
      </c>
      <c r="C29" s="237">
        <f ca="1">ROUND(C21*F27,4)</f>
        <v>2.5999999999999999E-3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21044792</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230459319</v>
      </c>
      <c r="D33" s="231"/>
      <c r="E33" s="211"/>
      <c r="F33" s="240"/>
      <c r="G33" s="233"/>
    </row>
    <row r="34" spans="1:7" s="257" customFormat="1" ht="13.5" customHeight="1">
      <c r="A34" s="778" t="s">
        <v>346</v>
      </c>
      <c r="B34" s="214" t="s">
        <v>1523</v>
      </c>
      <c r="C34" s="219">
        <f ca="1">ROUND(IF(B1="",SUMPRODUCT('数据-取费表'!K6:K14,'数据-取费表'!L6:L14),INDIRECT("'数据-取费表'!l"&amp;$G$1)*INDIRECT("'数据-取费表'!k"&amp;$G$1)+'数据-取费表'!L14*INDIRECT("'数据-取费表'!S"&amp;$G$1)),0)</f>
        <v>209922384</v>
      </c>
      <c r="D34" s="216"/>
      <c r="E34" s="219"/>
      <c r="F34" s="256"/>
      <c r="G34" s="218"/>
    </row>
    <row r="35" spans="1:7" ht="13.5" customHeight="1">
      <c r="A35" s="778" t="s">
        <v>351</v>
      </c>
      <c r="B35" s="214" t="s">
        <v>1525</v>
      </c>
      <c r="C35" s="219">
        <f ca="1">ROUND(C34*F35,0)</f>
        <v>8396895</v>
      </c>
      <c r="D35" s="219"/>
      <c r="E35" s="219"/>
      <c r="F35" s="258">
        <f>'数据-取费表'!B33</f>
        <v>0.04</v>
      </c>
      <c r="G35" s="218" t="s">
        <v>1526</v>
      </c>
    </row>
    <row r="36" spans="1:7" ht="24">
      <c r="A36" s="778"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8" t="s">
        <v>353</v>
      </c>
      <c r="B37" s="214" t="s">
        <v>1529</v>
      </c>
      <c r="C37" s="248">
        <f ca="1">ROUND(E37*D37,0)</f>
        <v>7941592</v>
      </c>
      <c r="D37" s="216">
        <f ca="1">D19</f>
        <v>39707.960000000006</v>
      </c>
      <c r="E37" s="248">
        <f>'数据-取费表'!B35</f>
        <v>200</v>
      </c>
      <c r="F37" s="258"/>
      <c r="G37" s="260"/>
    </row>
    <row r="38" spans="1:7" ht="13.5" customHeight="1">
      <c r="A38" s="778" t="s">
        <v>354</v>
      </c>
      <c r="B38" s="214" t="s">
        <v>1531</v>
      </c>
      <c r="C38" s="219">
        <f ca="1">ROUND(C34*F38,0)</f>
        <v>4198448</v>
      </c>
      <c r="D38" s="219"/>
      <c r="E38" s="219"/>
      <c r="F38" s="258">
        <f>'数据-取费表'!B36</f>
        <v>0.02</v>
      </c>
      <c r="G38" s="218" t="s">
        <v>1526</v>
      </c>
    </row>
    <row r="39" spans="1:7" s="213" customFormat="1" ht="13.5" customHeight="1">
      <c r="A39" s="254" t="s">
        <v>1532</v>
      </c>
      <c r="B39" s="209" t="s">
        <v>1533</v>
      </c>
      <c r="C39" s="231">
        <f ca="1">ROUND(C33*F20,0)</f>
        <v>4609186</v>
      </c>
      <c r="D39" s="231"/>
      <c r="E39" s="231"/>
      <c r="F39" s="232">
        <f>F20</f>
        <v>0.02</v>
      </c>
      <c r="G39" s="233" t="s">
        <v>1534</v>
      </c>
    </row>
    <row r="40" spans="1:7" s="213" customFormat="1" ht="13.5" customHeight="1">
      <c r="A40" s="254" t="s">
        <v>1535</v>
      </c>
      <c r="B40" s="209" t="s">
        <v>1536</v>
      </c>
      <c r="C40" s="1322">
        <f>F21</f>
        <v>0.02</v>
      </c>
      <c r="D40" s="235" t="s">
        <v>1537</v>
      </c>
      <c r="E40" s="231"/>
      <c r="F40" s="232">
        <f>F21</f>
        <v>0.02</v>
      </c>
      <c r="G40" s="233" t="s">
        <v>1538</v>
      </c>
    </row>
    <row r="41" spans="1:7" s="213" customFormat="1" ht="13.5" customHeight="1">
      <c r="A41" s="254" t="s">
        <v>1539</v>
      </c>
      <c r="B41" s="209" t="s">
        <v>1540</v>
      </c>
      <c r="C41" s="231">
        <f ca="1">ROUND(SUM(C42:C43),0)</f>
        <v>8109864</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ROUND(IF('数据-取费表'!B22&lt;=1,C33*F22*'数据-取费表'!B20/2,C33*(POWER((1+F22),'数据-取费表'!B20/2)-1)),0)</f>
        <v>7950847</v>
      </c>
      <c r="D42" s="237"/>
      <c r="E42" s="237"/>
      <c r="F42" s="238"/>
      <c r="G42" s="3673" t="s">
        <v>1589</v>
      </c>
    </row>
    <row r="43" spans="1:7" ht="13.5" customHeight="1">
      <c r="A43" s="778" t="s">
        <v>347</v>
      </c>
      <c r="B43" s="214" t="s">
        <v>1543</v>
      </c>
      <c r="C43" s="237">
        <f ca="1">ROUND(IF('数据-取费表'!B22&lt;=1,C39*F22*'数据-取费表'!B20/2,C39*(POWER((1+F22),'数据-取费表'!B20/2)-1)),0)</f>
        <v>159017</v>
      </c>
      <c r="D43" s="237"/>
      <c r="E43" s="237"/>
      <c r="F43" s="238"/>
      <c r="G43" s="3674"/>
    </row>
    <row r="44" spans="1:7" ht="13.5" customHeight="1">
      <c r="A44" s="778" t="s">
        <v>348</v>
      </c>
      <c r="B44" s="214" t="s">
        <v>1544</v>
      </c>
      <c r="C44" s="237">
        <f ca="1">ROUND(IF('数据-取费表'!B22&lt;=1,C40*F22*'数据-取费表'!B20/2,C40*(POWER((1+F22),'数据-取费表'!B20/2)-1)),4)</f>
        <v>6.9999999999999999E-4</v>
      </c>
      <c r="D44" s="237"/>
      <c r="E44" s="237"/>
      <c r="F44" s="238"/>
      <c r="G44" s="3675"/>
    </row>
    <row r="45" spans="1:7" s="213" customFormat="1" ht="13.5" customHeight="1">
      <c r="A45" s="254" t="s">
        <v>1545</v>
      </c>
      <c r="B45" s="243" t="s">
        <v>1511</v>
      </c>
      <c r="C45" s="244">
        <f ca="1">C46</f>
        <v>30558906</v>
      </c>
      <c r="D45" s="234">
        <f ca="1">C47</f>
        <v>2.5999999999999999E-3</v>
      </c>
      <c r="E45" s="235" t="s">
        <v>1537</v>
      </c>
      <c r="F45" s="245">
        <f ca="1">F27</f>
        <v>0.13</v>
      </c>
      <c r="G45" s="246" t="s">
        <v>1546</v>
      </c>
    </row>
    <row r="46" spans="1:7" s="213" customFormat="1" ht="13.5" customHeight="1">
      <c r="A46" s="778" t="s">
        <v>346</v>
      </c>
      <c r="B46" s="247" t="s">
        <v>1547</v>
      </c>
      <c r="C46" s="248">
        <f ca="1">ROUND((C33+C39)*F27,0)</f>
        <v>30558906</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296444959</v>
      </c>
      <c r="D49" s="231"/>
      <c r="E49" s="231"/>
      <c r="F49" s="263"/>
      <c r="G49" s="233" t="s">
        <v>1552</v>
      </c>
    </row>
    <row r="50" spans="1:7" s="257" customFormat="1">
      <c r="A50" s="254" t="s">
        <v>1553</v>
      </c>
      <c r="B50" s="209" t="s">
        <v>1554</v>
      </c>
      <c r="C50" s="231"/>
      <c r="D50" s="231"/>
      <c r="E50" s="231"/>
      <c r="F50" s="263">
        <f>IF('数据-取费表'!B24=0,'数据-取费表'!N16,1)</f>
        <v>0.88</v>
      </c>
      <c r="G50" s="246"/>
    </row>
    <row r="51" spans="1:7" ht="16.5" customHeight="1">
      <c r="A51" s="254" t="s">
        <v>1556</v>
      </c>
      <c r="B51" s="209" t="s">
        <v>1591</v>
      </c>
      <c r="C51" s="231">
        <f ca="1">ROUND(C49*F50,0)</f>
        <v>260871564</v>
      </c>
      <c r="D51" s="231"/>
      <c r="E51" s="231"/>
      <c r="F51" s="263"/>
      <c r="G51" s="233" t="s">
        <v>1558</v>
      </c>
    </row>
    <row r="52" spans="1:7" s="207" customFormat="1" ht="16.5" thickBot="1">
      <c r="A52" s="264" t="s">
        <v>1559</v>
      </c>
      <c r="B52" s="265"/>
      <c r="C52" s="266">
        <f ca="1">C31+C51</f>
        <v>281916356</v>
      </c>
      <c r="D52" s="265"/>
      <c r="E52" s="265"/>
      <c r="F52" s="265"/>
      <c r="G52" s="267"/>
    </row>
    <row r="55" spans="1:7" ht="15">
      <c r="B55" s="269" t="s">
        <v>1560</v>
      </c>
      <c r="C55" s="270"/>
    </row>
    <row r="56" spans="1:7">
      <c r="B56" s="272" t="s">
        <v>802</v>
      </c>
      <c r="C56" s="274">
        <f ca="1">1-C57</f>
        <v>7.4999999999999956E-2</v>
      </c>
    </row>
    <row r="57" spans="1:7">
      <c r="B57" s="272" t="s">
        <v>803</v>
      </c>
      <c r="C57" s="273">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1592</v>
      </c>
      <c r="B1" s="1186"/>
      <c r="C1" s="1187"/>
      <c r="D1" s="1185"/>
      <c r="E1" s="2801"/>
      <c r="F1" s="2801"/>
      <c r="G1" s="2666"/>
      <c r="H1" s="2801"/>
      <c r="I1" s="2801"/>
      <c r="J1" s="2801"/>
      <c r="K1" s="2802">
        <f>MATCH(C1,'数据-取费表'!A6:A16,0)+5</f>
        <v>8</v>
      </c>
    </row>
    <row r="2" spans="1:33" ht="18" customHeight="1">
      <c r="A2" s="200" t="s">
        <v>1460</v>
      </c>
      <c r="B2" s="203">
        <f ca="1">C32</f>
        <v>0</v>
      </c>
      <c r="C2" s="275" t="s">
        <v>1593</v>
      </c>
      <c r="D2" s="275"/>
      <c r="E2" s="2801"/>
      <c r="F2" s="2801"/>
      <c r="G2" s="2801"/>
      <c r="H2" s="2801"/>
      <c r="I2" s="2801"/>
      <c r="J2" s="2801"/>
      <c r="K2" s="2801"/>
    </row>
    <row r="3" spans="1:33" ht="18" customHeight="1" thickBot="1">
      <c r="A3" s="202" t="s">
        <v>1462</v>
      </c>
      <c r="B3" s="203">
        <f ca="1">ROUND(B2*10000/IF(C1="",'数据-汇总表'!E3,INDIRECT("'数据-取费表'!K"&amp;$K$1)),0)</f>
        <v>0</v>
      </c>
      <c r="C3" s="275" t="s">
        <v>1594</v>
      </c>
      <c r="D3" s="275"/>
      <c r="E3" s="2801"/>
      <c r="F3" s="2801"/>
      <c r="G3" s="2801"/>
      <c r="H3" s="2801"/>
      <c r="I3" s="2801"/>
      <c r="J3" s="2801"/>
      <c r="K3" s="2801"/>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5"/>
      <c r="D5" s="1855"/>
      <c r="E5" s="1855"/>
      <c r="F5" s="1855"/>
      <c r="G5" s="1855"/>
      <c r="H5" s="1855"/>
      <c r="I5" s="1855"/>
      <c r="J5" s="1855"/>
      <c r="K5" s="1855"/>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6" t="s">
        <v>1601</v>
      </c>
      <c r="B8" s="163"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8"/>
      <c r="F12" s="810">
        <f>'数据-取费表'!B33</f>
        <v>0.04</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8"/>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39707.960000000006</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0"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0"/>
      <c r="H16" s="1183"/>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39707.960000000006</v>
      </c>
      <c r="E17" s="21">
        <f>'数据-取费表'!B32</f>
        <v>0</v>
      </c>
      <c r="F17" s="804"/>
      <c r="G17" s="130" t="s">
        <v>1621</v>
      </c>
      <c r="H17" s="1183"/>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57"/>
      <c r="H18" s="1182"/>
      <c r="I18" s="1858"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0</v>
      </c>
      <c r="F19" s="802"/>
      <c r="G19" s="12"/>
      <c r="H19" s="1184"/>
      <c r="I19" s="807"/>
      <c r="J19" s="807"/>
      <c r="K19" s="808"/>
    </row>
    <row r="20" spans="1:33" s="801" customFormat="1" ht="13.5" customHeight="1">
      <c r="A20" s="798" t="s">
        <v>361</v>
      </c>
      <c r="B20" s="799" t="s">
        <v>1625</v>
      </c>
      <c r="C20" s="21">
        <f ca="1">ROUND(D20*E20/10000,0)</f>
        <v>794</v>
      </c>
      <c r="D20" s="844">
        <f ca="1">IF(C1="",'数据-汇总表'!E6,IF(INDIRECT("'数据-取费表'!c"&amp;$K$1)="住宅",INDIRECT("'数据-取费表'!s"&amp;$K$1),INDIRECT("'数据-取费表'!k"&amp;$K$1)+INDIRECT("'数据-取费表'!s"&amp;$K$1)))</f>
        <v>39707.960000000006</v>
      </c>
      <c r="E20" s="21">
        <f>'数据-取费表'!B28</f>
        <v>200</v>
      </c>
      <c r="F20" s="802"/>
      <c r="G20" s="12"/>
      <c r="H20" s="807"/>
      <c r="I20" s="807"/>
      <c r="J20" s="807"/>
      <c r="K20" s="808"/>
    </row>
    <row r="21" spans="1:33" s="801" customFormat="1" ht="13.5" customHeight="1">
      <c r="A21" s="788" t="s">
        <v>357</v>
      </c>
      <c r="B21" s="811" t="s">
        <v>1626</v>
      </c>
      <c r="C21" s="812">
        <f ca="1">C16+C17+C18</f>
        <v>0</v>
      </c>
      <c r="D21" s="813"/>
      <c r="E21" s="280"/>
      <c r="F21" s="280"/>
      <c r="G21" s="130" t="s">
        <v>1627</v>
      </c>
      <c r="H21" s="805"/>
      <c r="I21" s="805"/>
      <c r="J21" s="805"/>
      <c r="K21" s="806"/>
    </row>
    <row r="22" spans="1:33" s="801" customFormat="1" ht="13.5" customHeight="1">
      <c r="A22" s="788" t="s">
        <v>1599</v>
      </c>
      <c r="B22" s="811" t="s">
        <v>1628</v>
      </c>
      <c r="C22" s="812">
        <f ca="1">ROUND(C21*F22,0)</f>
        <v>0</v>
      </c>
      <c r="D22" s="280"/>
      <c r="E22" s="280"/>
      <c r="F22" s="814">
        <f>'数据-取费表'!B37</f>
        <v>0.02</v>
      </c>
      <c r="G22" s="5" t="s">
        <v>1629</v>
      </c>
      <c r="H22" s="795"/>
      <c r="I22" s="795"/>
      <c r="J22" s="795"/>
      <c r="K22" s="796"/>
    </row>
    <row r="23" spans="1:33" s="801" customFormat="1" ht="13.5" customHeight="1">
      <c r="A23" s="788" t="s">
        <v>1601</v>
      </c>
      <c r="B23" s="811" t="s">
        <v>1630</v>
      </c>
      <c r="C23" s="812">
        <f ca="1">ROUND(C4*F23*F11,0)</f>
        <v>0</v>
      </c>
      <c r="D23" s="280"/>
      <c r="E23" s="280"/>
      <c r="F23" s="814">
        <f>'数据-取费表'!B38</f>
        <v>0.02</v>
      </c>
      <c r="G23" s="5" t="s">
        <v>1631</v>
      </c>
      <c r="H23" s="795"/>
      <c r="I23" s="795"/>
      <c r="J23" s="795"/>
      <c r="K23" s="796"/>
    </row>
    <row r="24" spans="1:33" s="801" customFormat="1" ht="13.5" customHeight="1">
      <c r="A24" s="788" t="s">
        <v>1632</v>
      </c>
      <c r="B24" s="811" t="s">
        <v>1633</v>
      </c>
      <c r="C24" s="279">
        <f>ROUND(F24/(1+'数据-取费表'!C42),4)</f>
        <v>2.9000000000000001E-2</v>
      </c>
      <c r="D24" s="280" t="s">
        <v>12</v>
      </c>
      <c r="E24" s="280"/>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2">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3">
        <f ca="1">ROUND(IF('数据-取费表'!B22&lt;=1,(1+C24)*F25*'数据-取费表'!B24,(1+C24)*(POWER((1+F25),'数据-取费表'!B24)-1)),4)</f>
        <v>0</v>
      </c>
      <c r="D26" s="283"/>
      <c r="E26" s="284"/>
      <c r="F26" s="285"/>
      <c r="G26" s="1859"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4">
        <f ca="1">ROUND(IF('数据-取费表'!B22&lt;=1,(C21+C22+C23)*F25*'数据-取费表'!B24/2,(C21+C22+C23)*(POWER((1+F25),'数据-取费表'!B24/2)-1)),0)</f>
        <v>0</v>
      </c>
      <c r="D27" s="283"/>
      <c r="E27" s="284"/>
      <c r="F27" s="285"/>
      <c r="G27" s="1859" t="str">
        <f>IF('数据-取费表'!B22&lt;=1,"（1）-（3）项×年利率×建设期÷2","（1）-（3）项×((1+年利率)^(建设期÷2)-1)")</f>
        <v>（1）-（3）项×((1+年利率)^(建设期÷2)-1)</v>
      </c>
      <c r="H27" s="805"/>
      <c r="I27" s="805"/>
      <c r="J27" s="805"/>
      <c r="K27" s="806"/>
    </row>
    <row r="28" spans="1:33" s="288" customFormat="1" ht="13.5" customHeight="1">
      <c r="A28" s="788" t="s">
        <v>1639</v>
      </c>
      <c r="B28" s="1860" t="s">
        <v>1640</v>
      </c>
      <c r="C28" s="286">
        <f ca="1">C30</f>
        <v>0</v>
      </c>
      <c r="D28" s="279">
        <f ca="1">C29</f>
        <v>0</v>
      </c>
      <c r="E28" s="281" t="s">
        <v>12</v>
      </c>
      <c r="F28" s="287">
        <f ca="1">IF(C1="",'数据-取费表'!Q16,INDIRECT("'数据-取费表'!q"&amp;$K$1))</f>
        <v>0.13</v>
      </c>
      <c r="G28" s="815"/>
      <c r="H28" s="816"/>
      <c r="I28" s="816"/>
      <c r="J28" s="816"/>
      <c r="K28" s="817"/>
    </row>
    <row r="29" spans="1:33" s="290" customFormat="1" ht="13.5" customHeight="1">
      <c r="A29" s="798" t="s">
        <v>358</v>
      </c>
      <c r="B29" s="820" t="s">
        <v>1641</v>
      </c>
      <c r="C29" s="283">
        <f ca="1">ROUND((1+C24)*F28*'数据-取费表'!B24/'数据-取费表'!B20,4)</f>
        <v>0</v>
      </c>
      <c r="D29" s="283"/>
      <c r="E29" s="284"/>
      <c r="F29" s="289"/>
      <c r="G29" s="130" t="s">
        <v>1642</v>
      </c>
      <c r="H29" s="805"/>
      <c r="I29" s="805"/>
      <c r="J29" s="805"/>
      <c r="K29" s="806"/>
    </row>
    <row r="30" spans="1:33" s="290" customFormat="1" ht="13.5" customHeight="1">
      <c r="A30" s="798" t="s">
        <v>359</v>
      </c>
      <c r="B30" s="820" t="s">
        <v>1643</v>
      </c>
      <c r="C30" s="291">
        <f ca="1">ROUND((C21+C22+C23)*F28,0)</f>
        <v>0</v>
      </c>
      <c r="D30" s="283"/>
      <c r="E30" s="284"/>
      <c r="F30" s="289"/>
      <c r="G30" s="130"/>
      <c r="H30" s="805"/>
      <c r="I30" s="805"/>
      <c r="J30" s="805"/>
      <c r="K30" s="806"/>
    </row>
    <row r="31" spans="1:33" s="801" customFormat="1" ht="13.5" customHeight="1" thickBot="1">
      <c r="A31" s="1861"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B18" sqref="B1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1656</v>
      </c>
      <c r="B1" s="1863"/>
      <c r="C1" s="1863"/>
      <c r="D1" s="1863"/>
      <c r="E1" s="1864"/>
      <c r="F1" s="2702"/>
      <c r="G1" s="1484"/>
      <c r="H1" s="1484"/>
      <c r="I1" s="1484"/>
      <c r="J1" s="1484"/>
      <c r="K1" s="1484"/>
      <c r="L1" s="1484"/>
      <c r="M1" s="1484"/>
      <c r="N1" s="1484"/>
      <c r="O1" s="1484"/>
      <c r="P1" s="1484"/>
      <c r="Q1" s="1484"/>
      <c r="R1" s="1484"/>
      <c r="S1" s="1484"/>
    </row>
    <row r="2" spans="1:22" ht="15.75">
      <c r="A2" s="1865" t="s">
        <v>1460</v>
      </c>
      <c r="B2" s="1866">
        <f ca="1">SUMIF(B6:B13,"&lt;&gt;#ref!",B6:B13)</f>
        <v>60171</v>
      </c>
      <c r="C2" s="1867" t="s">
        <v>1649</v>
      </c>
      <c r="D2" s="1868" t="s">
        <v>1650</v>
      </c>
      <c r="E2" s="2602">
        <f>SUM(E6:E13)</f>
        <v>39707.960000000006</v>
      </c>
      <c r="F2" s="2702"/>
      <c r="G2" s="1484"/>
      <c r="H2" s="1484"/>
      <c r="I2" s="1484"/>
      <c r="J2" s="1484"/>
      <c r="K2" s="1484"/>
      <c r="L2" s="1484"/>
      <c r="M2" s="1484"/>
      <c r="N2" s="1484"/>
      <c r="O2" s="1484"/>
      <c r="P2" s="1484"/>
      <c r="Q2" s="1484"/>
      <c r="R2" s="1484"/>
      <c r="S2" s="1484"/>
    </row>
    <row r="3" spans="1:22" ht="15.75">
      <c r="A3" s="1865" t="s">
        <v>686</v>
      </c>
      <c r="B3" s="2596">
        <f ca="1">ROUND(B2*10000/E2,0)</f>
        <v>15153</v>
      </c>
      <c r="C3" s="1867" t="s">
        <v>1657</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1651</v>
      </c>
      <c r="B5" s="3676" t="s">
        <v>1652</v>
      </c>
      <c r="C5" s="3677"/>
      <c r="D5" s="2703"/>
      <c r="E5" s="1869" t="s">
        <v>1653</v>
      </c>
      <c r="F5" s="1870" t="s">
        <v>1654</v>
      </c>
      <c r="G5" s="1484"/>
      <c r="H5" s="1484"/>
      <c r="I5" s="1484"/>
      <c r="J5" s="1484"/>
      <c r="K5" s="1484"/>
      <c r="L5" s="1484"/>
      <c r="M5" s="1484"/>
      <c r="N5" s="1484"/>
      <c r="O5" s="1484"/>
      <c r="P5" s="1484"/>
      <c r="Q5" s="1484"/>
      <c r="R5" s="1484"/>
      <c r="S5" s="1484"/>
    </row>
    <row r="6" spans="1:22">
      <c r="A6" s="2599" t="str">
        <f>'数据-取费表'!AN6</f>
        <v>收益法-办公</v>
      </c>
      <c r="B6" s="2597">
        <f ca="1">IF(F6="是",'数据-取费表'!AO6,0)</f>
        <v>59480</v>
      </c>
      <c r="C6" s="1867" t="s">
        <v>1649</v>
      </c>
      <c r="D6" s="2704"/>
      <c r="E6" s="2601">
        <f>IF(OR(A6=0,F6="否"),0,'数据-取费表'!K6+'数据-取费表'!S6)</f>
        <v>32437.300000000007</v>
      </c>
      <c r="F6" s="1871" t="s">
        <v>1655</v>
      </c>
      <c r="G6" s="1484"/>
      <c r="H6" s="1484"/>
      <c r="I6" s="1484"/>
      <c r="J6" s="1484"/>
      <c r="K6" s="1484"/>
      <c r="L6" s="1484"/>
      <c r="M6" s="1484"/>
      <c r="N6" s="1484"/>
      <c r="O6" s="1484"/>
      <c r="P6" s="1484"/>
      <c r="Q6" s="1484"/>
      <c r="R6" s="1484"/>
      <c r="S6" s="1484"/>
    </row>
    <row r="7" spans="1:22">
      <c r="A7" s="2599" t="str">
        <f>'数据-取费表'!AN7</f>
        <v>收益法-车库</v>
      </c>
      <c r="B7" s="2597">
        <f ca="1">IF(F7="是",'数据-取费表'!AO7,0)</f>
        <v>691</v>
      </c>
      <c r="C7" s="1867" t="s">
        <v>1649</v>
      </c>
      <c r="D7" s="2704"/>
      <c r="E7" s="2601">
        <f>IF(OR(A7=0,F7="否"),0,'数据-取费表'!K7+'数据-取费表'!S7)</f>
        <v>7270.66</v>
      </c>
      <c r="F7" s="1871" t="s">
        <v>1655</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1649</v>
      </c>
      <c r="D8" s="2704"/>
      <c r="E8" s="2601">
        <f>IF(OR(A8=0,F8="否"),0,'数据-取费表'!K8+'数据-取费表'!S8)</f>
        <v>0</v>
      </c>
      <c r="F8" s="1871" t="s">
        <v>1655</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1649</v>
      </c>
      <c r="D9" s="2704"/>
      <c r="E9" s="2601">
        <f>IF(OR(A9=0,F9="否"),0,'数据-取费表'!K9+'数据-取费表'!S9)</f>
        <v>0</v>
      </c>
      <c r="F9" s="1871" t="s">
        <v>1655</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1649</v>
      </c>
      <c r="D10" s="2704"/>
      <c r="E10" s="2601">
        <f>IF(OR(A10=0,F10="否"),0,'数据-取费表'!K10+'数据-取费表'!S10)</f>
        <v>0</v>
      </c>
      <c r="F10" s="1871" t="s">
        <v>1655</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1649</v>
      </c>
      <c r="D11" s="2704"/>
      <c r="E11" s="2601">
        <f>IF(OR(A11=0,F11="否"),0,'数据-取费表'!K11+'数据-取费表'!S11)</f>
        <v>0</v>
      </c>
      <c r="F11" s="1871" t="s">
        <v>1655</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1649</v>
      </c>
      <c r="D12" s="2704"/>
      <c r="E12" s="2601">
        <f>IF(OR(A12=0,F12="否"),0,'数据-取费表'!K12+'数据-取费表'!S12)</f>
        <v>0</v>
      </c>
      <c r="F12" s="1871" t="s">
        <v>1655</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1649</v>
      </c>
      <c r="D13" s="2705"/>
      <c r="E13" s="2601">
        <f>IF(OR(A13=0,F13="否"),0,'数据-取费表'!K13+'数据-取费表'!S13)</f>
        <v>0</v>
      </c>
      <c r="F13" s="1871" t="s">
        <v>1655</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3470" t="s">
        <v>3612</v>
      </c>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3470" t="s">
        <v>3613</v>
      </c>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I31" zoomScale="70" zoomScaleNormal="70" zoomScaleSheetLayoutView="70" workbookViewId="0">
      <selection activeCell="C6" sqref="C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1"/>
      <c r="C1" s="1374" t="s">
        <v>3</v>
      </c>
      <c r="D1" s="1357" t="s">
        <v>43</v>
      </c>
      <c r="E1" s="1358" t="s">
        <v>678</v>
      </c>
      <c r="F1" s="1058">
        <f ca="1">J53</f>
        <v>32.04</v>
      </c>
      <c r="G1" s="1373">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59480</v>
      </c>
      <c r="C2" s="1382" t="s">
        <v>805</v>
      </c>
      <c r="D2" s="1382"/>
      <c r="E2" s="1383"/>
      <c r="F2" s="1384"/>
      <c r="G2" s="2701"/>
      <c r="H2" s="2690"/>
      <c r="I2" s="2690"/>
      <c r="J2" s="2690"/>
      <c r="K2" s="2691"/>
      <c r="L2" s="2690"/>
      <c r="M2" s="2690"/>
    </row>
    <row r="3" spans="1:37" ht="18" customHeight="1" thickBot="1">
      <c r="A3" s="1385" t="s">
        <v>806</v>
      </c>
      <c r="B3" s="1386">
        <f ca="1">IF(ISERROR(B2*10000/F43),0,ROUND(B2*10000/F43,0))</f>
        <v>18468</v>
      </c>
      <c r="C3" s="1382" t="s">
        <v>807</v>
      </c>
      <c r="D3" s="1382"/>
      <c r="E3" s="1383"/>
      <c r="F3" s="1384"/>
      <c r="G3" s="2701"/>
      <c r="H3" s="681"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3708</v>
      </c>
      <c r="D5" s="1359" t="s">
        <v>693</v>
      </c>
      <c r="E5" s="1067"/>
      <c r="F5" s="1068"/>
      <c r="G5" s="1379"/>
      <c r="H5" s="298">
        <v>1</v>
      </c>
      <c r="I5" s="299" t="s">
        <v>692</v>
      </c>
      <c r="J5" s="1066">
        <f ca="1">J6+J10+J12</f>
        <v>0</v>
      </c>
      <c r="K5" s="1359" t="s">
        <v>693</v>
      </c>
      <c r="L5" s="1067"/>
      <c r="M5" s="1068"/>
    </row>
    <row r="6" spans="1:37" ht="18" customHeight="1">
      <c r="A6" s="1065" t="s">
        <v>398</v>
      </c>
      <c r="B6" s="3680" t="s">
        <v>694</v>
      </c>
      <c r="C6" s="1070">
        <f ca="1">ROUND(F6*F8*F7*(1-F9)/10000,0)</f>
        <v>3703</v>
      </c>
      <c r="D6" s="154" t="s">
        <v>2106</v>
      </c>
      <c r="E6" s="301" t="s">
        <v>696</v>
      </c>
      <c r="F6" s="302">
        <f ca="1">INDIRECT("'数据-取费表'!u"&amp;$G$1)</f>
        <v>3.5</v>
      </c>
      <c r="G6" s="1379"/>
      <c r="H6" s="1065" t="s">
        <v>398</v>
      </c>
      <c r="I6" s="3680" t="s">
        <v>694</v>
      </c>
      <c r="J6" s="300">
        <f ca="1">ROUND(M6*M8*M7*(1-M9)/10000,0)</f>
        <v>0</v>
      </c>
      <c r="K6" s="154" t="s">
        <v>2105</v>
      </c>
      <c r="L6" s="301" t="s">
        <v>696</v>
      </c>
      <c r="M6" s="302">
        <f ca="1">INDIRECT("'数据-取费表'!z"&amp;$G$1)</f>
        <v>0</v>
      </c>
    </row>
    <row r="7" spans="1:37" ht="18" customHeight="1">
      <c r="A7" s="1069"/>
      <c r="B7" s="3681"/>
      <c r="C7" s="1071"/>
      <c r="D7" s="306"/>
      <c r="E7" s="1072" t="s">
        <v>697</v>
      </c>
      <c r="F7" s="302">
        <f ca="1">IF(INDIRECT("'数据-取费表'!ah"&amp;$G$1)="",INDIRECT("'数据-取费表'!k"&amp;$G$1),INDIRECT("'数据-取费表'!ah"&amp;$G$1))</f>
        <v>32206.960000000006</v>
      </c>
      <c r="G7" s="1379"/>
      <c r="H7" s="303"/>
      <c r="I7" s="3681"/>
      <c r="J7" s="305"/>
      <c r="K7" s="306"/>
      <c r="L7" s="301" t="s">
        <v>697</v>
      </c>
      <c r="M7" s="302">
        <f ca="1">F7</f>
        <v>32206.960000000006</v>
      </c>
    </row>
    <row r="8" spans="1:37" ht="18" customHeight="1">
      <c r="A8" s="303"/>
      <c r="B8" s="3681"/>
      <c r="C8" s="305"/>
      <c r="D8" s="306"/>
      <c r="E8" s="301" t="s">
        <v>698</v>
      </c>
      <c r="F8" s="302">
        <f ca="1">INDIRECT("'数据-取费表'!ai"&amp;$G$1)</f>
        <v>365</v>
      </c>
      <c r="G8" s="1379"/>
      <c r="H8" s="303"/>
      <c r="I8" s="3681"/>
      <c r="J8" s="305"/>
      <c r="K8" s="306"/>
      <c r="L8" s="301" t="s">
        <v>698</v>
      </c>
      <c r="M8" s="302">
        <f ca="1">INDIRECT("'数据-取费表'!ai"&amp;$G$1)</f>
        <v>365</v>
      </c>
    </row>
    <row r="9" spans="1:37" ht="18" customHeight="1">
      <c r="A9" s="303"/>
      <c r="B9" s="3682"/>
      <c r="C9" s="305"/>
      <c r="D9" s="306"/>
      <c r="E9" s="301" t="s">
        <v>699</v>
      </c>
      <c r="F9" s="311">
        <f ca="1">INDIRECT("'数据-取费表'!w"&amp;$G$1)</f>
        <v>0.1</v>
      </c>
      <c r="G9" s="1379"/>
      <c r="H9" s="303"/>
      <c r="I9" s="3682"/>
      <c r="J9" s="305"/>
      <c r="K9" s="306"/>
      <c r="L9" s="312" t="s">
        <v>699</v>
      </c>
      <c r="M9" s="313">
        <f ca="1">INDIRECT("'数据-取费表'!ab"&amp;$G$1)</f>
        <v>0</v>
      </c>
    </row>
    <row r="10" spans="1:37" ht="18" customHeight="1">
      <c r="A10" s="1065" t="s">
        <v>402</v>
      </c>
      <c r="B10" s="1360" t="s">
        <v>700</v>
      </c>
      <c r="C10" s="315">
        <f ca="1">ROUND(IF(F10="押一",C6/12*F11,IF(F10="押二",C6/12*2*F11,IF(F10="押三",C6/12*3*F11,C11*F11))),0)</f>
        <v>5</v>
      </c>
      <c r="D10" s="1361" t="s">
        <v>2114</v>
      </c>
      <c r="E10" s="312" t="s">
        <v>701</v>
      </c>
      <c r="F10" s="1112" t="s">
        <v>3607</v>
      </c>
      <c r="G10" s="1379"/>
      <c r="H10" s="1065" t="s">
        <v>402</v>
      </c>
      <c r="I10" s="1360" t="s">
        <v>700</v>
      </c>
      <c r="J10" s="300">
        <f ca="1">ROUND(IF(M10="押一",J6/12*M11,IF(M10="押二",J6/12*2*M11,IF(M10="押三",J6/12*3*M11,J11*M11))),0)</f>
        <v>0</v>
      </c>
      <c r="K10" s="1361" t="s">
        <v>2113</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2"/>
      <c r="L11" s="312" t="s">
        <v>702</v>
      </c>
      <c r="M11" s="860">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22118</v>
      </c>
      <c r="D13" s="1077" t="s">
        <v>705</v>
      </c>
      <c r="E13" s="1077"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17503</v>
      </c>
      <c r="D14" s="1340" t="s">
        <v>708</v>
      </c>
      <c r="E14" s="1337"/>
      <c r="F14" s="318"/>
      <c r="G14" s="1379"/>
      <c r="H14" s="978" t="s">
        <v>398</v>
      </c>
      <c r="I14" s="301" t="s">
        <v>709</v>
      </c>
      <c r="J14" s="21">
        <f ca="1">C29</f>
        <v>25134</v>
      </c>
      <c r="K14" s="12"/>
      <c r="L14" s="805"/>
      <c r="M14" s="806"/>
    </row>
    <row r="15" spans="1:37" s="1392" customFormat="1" ht="18" customHeight="1" thickBot="1">
      <c r="A15" s="978" t="s">
        <v>399</v>
      </c>
      <c r="B15" s="301" t="s">
        <v>710</v>
      </c>
      <c r="C15" s="21">
        <f ca="1">ROUND(C14*F15,0)</f>
        <v>700</v>
      </c>
      <c r="D15" s="319" t="s">
        <v>711</v>
      </c>
      <c r="E15" s="319" t="s">
        <v>712</v>
      </c>
      <c r="F15" s="320">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126</v>
      </c>
      <c r="K16" s="1083" t="s">
        <v>715</v>
      </c>
      <c r="L16" s="1084"/>
      <c r="M16" s="1068"/>
    </row>
    <row r="17" spans="1:37" s="1392" customFormat="1" ht="18" customHeight="1">
      <c r="A17" s="978" t="s">
        <v>681</v>
      </c>
      <c r="B17" s="301" t="s">
        <v>716</v>
      </c>
      <c r="C17" s="21">
        <f ca="1">ROUND(F17*(F43+INDIRECT("'数据-取费表'!S"&amp;$G$1))/10000,0)</f>
        <v>649</v>
      </c>
      <c r="D17" s="301" t="s">
        <v>717</v>
      </c>
      <c r="E17" s="301" t="s">
        <v>718</v>
      </c>
      <c r="F17" s="23">
        <f>'数据-取费表'!B35</f>
        <v>200</v>
      </c>
      <c r="G17" s="1391"/>
      <c r="H17" s="978" t="s">
        <v>398</v>
      </c>
      <c r="I17" s="301" t="s">
        <v>719</v>
      </c>
      <c r="J17" s="2311">
        <f ca="1">ROUND(IF(AND(项目基本情况!B11="自然人",项目基本情况!B10="北京市"),J6*M17/(1+'数据-取费表'!C42),J18+J19+J20),2)</f>
        <v>0.77</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350</v>
      </c>
      <c r="D18" s="301" t="s">
        <v>711</v>
      </c>
      <c r="E18" s="301" t="s">
        <v>712</v>
      </c>
      <c r="F18" s="321">
        <f>'数据-取费表'!B36</f>
        <v>0.02</v>
      </c>
      <c r="G18" s="1391"/>
      <c r="H18" s="978" t="s">
        <v>397</v>
      </c>
      <c r="I18" s="301" t="s">
        <v>723</v>
      </c>
      <c r="J18" s="21">
        <f ca="1">ROUND(J6*M18/(1+'数据-取费表'!C42),2)</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19202</v>
      </c>
      <c r="D19" s="130" t="s">
        <v>726</v>
      </c>
      <c r="E19" s="1355"/>
      <c r="F19" s="23"/>
      <c r="G19" s="1379"/>
      <c r="H19" s="978" t="s">
        <v>399</v>
      </c>
      <c r="I19" s="301" t="s">
        <v>727</v>
      </c>
      <c r="J19" s="21">
        <f ca="1">IF(K19="按租金收入计税",ROUND(J6*M19/(1+'数据-取费表'!C42),2),ROUND(C29*M19*0.7,2))</f>
        <v>0</v>
      </c>
      <c r="K19" s="1365" t="s">
        <v>3337</v>
      </c>
      <c r="L19" s="301" t="s">
        <v>712</v>
      </c>
      <c r="M19" s="321">
        <f>IF(K19="按租金收入计税",'数据-取费表'!B51,'数据-取费表'!B50)</f>
        <v>0.12</v>
      </c>
    </row>
    <row r="20" spans="1:37" s="1392" customFormat="1" ht="18" customHeight="1">
      <c r="A20" s="978" t="s">
        <v>402</v>
      </c>
      <c r="B20" s="301" t="s">
        <v>728</v>
      </c>
      <c r="C20" s="21">
        <f ca="1">ROUND(C19*F20,0)</f>
        <v>384</v>
      </c>
      <c r="D20" s="322" t="s">
        <v>729</v>
      </c>
      <c r="E20" s="301" t="s">
        <v>712</v>
      </c>
      <c r="F20" s="321">
        <f>'数据-取费表'!B37</f>
        <v>0.02</v>
      </c>
      <c r="G20" s="1391"/>
      <c r="H20" s="978" t="s">
        <v>680</v>
      </c>
      <c r="I20" s="154" t="s">
        <v>730</v>
      </c>
      <c r="J20" s="22">
        <f ca="1">ROUND(M20*M21/10000,2)</f>
        <v>0.77</v>
      </c>
      <c r="K20" s="323" t="s">
        <v>731</v>
      </c>
      <c r="L20" s="301" t="s">
        <v>732</v>
      </c>
      <c r="M20" s="324">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322" t="s">
        <v>734</v>
      </c>
      <c r="E21" s="301" t="s">
        <v>735</v>
      </c>
      <c r="F21" s="321">
        <f>'数据-取费表'!B38</f>
        <v>0.02</v>
      </c>
      <c r="G21" s="1391"/>
      <c r="H21" s="325"/>
      <c r="I21" s="310"/>
      <c r="J21" s="26"/>
      <c r="K21" s="326"/>
      <c r="L21" s="301" t="s">
        <v>736</v>
      </c>
      <c r="M21" s="302">
        <f ca="1">INDIRECT("'数据-取费表'!r"&amp;$G$1)</f>
        <v>5141.84</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ROUND(J14*M22,2)</f>
        <v>125.67</v>
      </c>
      <c r="K22" s="1339" t="s">
        <v>739</v>
      </c>
      <c r="L22" s="301" t="s">
        <v>712</v>
      </c>
      <c r="M22" s="327">
        <f ca="1">INDIRECT("'数据-取费表'!Ak"&amp;$G$1)</f>
        <v>5.0000000000000001E-3</v>
      </c>
    </row>
    <row r="23" spans="1:37" s="1392" customFormat="1" ht="18" customHeight="1">
      <c r="A23" s="978" t="s">
        <v>397</v>
      </c>
      <c r="B23" s="301" t="s">
        <v>740</v>
      </c>
      <c r="C23" s="21">
        <f ca="1">IF('数据-取费表'!B22&lt;=1,ROUND(C19*F24*F23/2,0)+ROUND(C20*F24*F23/2,0),ROUND(C19*(POWER((1+F24),F23/2)-1),0)+ROUND(C20*(POWER((1+F24),F23/2)-1),0))</f>
        <v>675</v>
      </c>
      <c r="D23" s="328" t="str">
        <f>IF(F23&lt;=1,"(建造成本+管理费用)×利率×(建设周期÷2)","(建造成本+管理费用)×((1+利率)^(建设周期÷2)-1)")</f>
        <v>(建造成本+管理费用)×((1+利率)^(建设周期÷2)-1)</v>
      </c>
      <c r="E23" s="301" t="s">
        <v>741</v>
      </c>
      <c r="F23" s="324">
        <f>'数据-取费表'!B20</f>
        <v>2</v>
      </c>
      <c r="G23" s="1391"/>
      <c r="H23" s="978" t="s">
        <v>437</v>
      </c>
      <c r="I23" s="301" t="s">
        <v>742</v>
      </c>
      <c r="J23" s="21">
        <f ca="1">ROUND(J13*M23,2)</f>
        <v>0</v>
      </c>
      <c r="K23" s="1339"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1355"/>
      <c r="F25" s="23"/>
      <c r="G25" s="1379"/>
      <c r="H25" s="1075" t="s">
        <v>394</v>
      </c>
      <c r="I25" s="1090" t="s">
        <v>752</v>
      </c>
      <c r="J25" s="309">
        <f ca="1">J5-J16</f>
        <v>-126</v>
      </c>
      <c r="K25" s="1091" t="s">
        <v>753</v>
      </c>
      <c r="L25" s="1092"/>
      <c r="M25" s="1093"/>
    </row>
    <row r="26" spans="1:37">
      <c r="A26" s="978" t="s">
        <v>397</v>
      </c>
      <c r="B26" s="301" t="s">
        <v>754</v>
      </c>
      <c r="C26" s="21">
        <f ca="1">ROUND((C19+C20)*F26,0)</f>
        <v>2938</v>
      </c>
      <c r="D26" s="322" t="s">
        <v>755</v>
      </c>
      <c r="E26" s="312" t="s">
        <v>756</v>
      </c>
      <c r="F26" s="311">
        <f ca="1">INDIRECT("'数据-取费表'!q"&amp;$G$1)</f>
        <v>0.15</v>
      </c>
      <c r="G26" s="1379"/>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25134</v>
      </c>
      <c r="D29" s="1088"/>
      <c r="E29" s="1086"/>
      <c r="F29" s="1089"/>
      <c r="G29" s="1391"/>
      <c r="H29" s="333" t="s">
        <v>396</v>
      </c>
      <c r="I29" s="334" t="s">
        <v>768</v>
      </c>
      <c r="J29" s="335">
        <f ca="1">ROUND(J26/(1+F40)^F41,0)</f>
        <v>0</v>
      </c>
      <c r="K29" s="336" t="s">
        <v>769</v>
      </c>
      <c r="L29" s="337"/>
      <c r="M29" s="338">
        <f ca="1">INDIRECT("'数据-取费表'!k"&amp;$G$1)</f>
        <v>32206.960000000006</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799</v>
      </c>
      <c r="D30" s="1083" t="s">
        <v>715</v>
      </c>
      <c r="E30" s="1084"/>
      <c r="F30" s="1068"/>
      <c r="G30" s="1379"/>
      <c r="H30" s="2692"/>
      <c r="I30" s="1393"/>
      <c r="J30" s="1394"/>
      <c r="K30" s="2470"/>
      <c r="L30" s="2693"/>
      <c r="M30" s="2694"/>
    </row>
    <row r="31" spans="1:37" ht="18" customHeight="1">
      <c r="A31" s="978" t="s">
        <v>398</v>
      </c>
      <c r="B31" s="301" t="s">
        <v>719</v>
      </c>
      <c r="C31" s="2311">
        <f ca="1">ROUND(IF(AND(项目基本情况!B11="自然人",项目基本情况!B10="北京市"),C6*F31/(1+'数据-取费表'!C42),C32+C33+C34),2)</f>
        <v>621.46</v>
      </c>
      <c r="D31" s="1340" t="s">
        <v>720</v>
      </c>
      <c r="E31" s="1339" t="s">
        <v>770</v>
      </c>
      <c r="F31" s="2310" t="str">
        <f>IF(项目基本情况!B11="企业","——",IF(M47="住宅",IF(F6*F7*F8/12/(1+'数据-取费表'!F30)&gt;100000,4%,2.5%),IF(F6*F7*F8/12/(1+'数据-取费表'!F30)&gt;100000,12%,7%)))</f>
        <v>——</v>
      </c>
      <c r="G31" s="1379"/>
      <c r="H31" s="2803" t="s">
        <v>2307</v>
      </c>
      <c r="I31" s="1393"/>
      <c r="J31" s="1394"/>
      <c r="K31" s="2470"/>
      <c r="L31" s="2693"/>
      <c r="M31" s="2694"/>
    </row>
    <row r="32" spans="1:37" ht="18" customHeight="1">
      <c r="A32" s="978" t="s">
        <v>397</v>
      </c>
      <c r="B32" s="301" t="s">
        <v>723</v>
      </c>
      <c r="C32" s="21">
        <f ca="1">IF(项目基本情况!B11="自然人","——",ROUND(C6*F32/(1+'数据-取费表'!C42),2))</f>
        <v>197.49</v>
      </c>
      <c r="D32" s="1339" t="s">
        <v>724</v>
      </c>
      <c r="E32" s="301" t="s">
        <v>712</v>
      </c>
      <c r="F32" s="330">
        <f>'数据-取费表'!B41</f>
        <v>5.6000000000000001E-2</v>
      </c>
      <c r="G32" s="1379"/>
      <c r="H32" s="2692"/>
      <c r="I32" s="1393"/>
      <c r="J32" s="1394"/>
      <c r="K32" s="2470"/>
      <c r="L32" s="2693"/>
      <c r="M32" s="2694"/>
    </row>
    <row r="33" spans="1:18" ht="18" customHeight="1">
      <c r="A33" s="978" t="s">
        <v>399</v>
      </c>
      <c r="B33" s="301" t="s">
        <v>727</v>
      </c>
      <c r="C33" s="21">
        <f ca="1">IF(项目基本情况!B11="自然人","——",IF(D33="按租金收入计税",ROUND(C6*F33/(1+'数据-取费表'!C42),2),IF(D33="按房产原值计税",ROUND(C29*F33*0.7,2),INDIRECT("'数据-取费表'!Aj"&amp;$G$1))))</f>
        <v>423.2</v>
      </c>
      <c r="D33" s="1365" t="s">
        <v>3337</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IF(项目基本情况!B11="自然人","——",ROUND(F34*F35/10000,2))</f>
        <v>0.77</v>
      </c>
      <c r="D34" s="323" t="s">
        <v>731</v>
      </c>
      <c r="E34" s="301" t="s">
        <v>732</v>
      </c>
      <c r="F34" s="324">
        <f>'数据-取费表'!B52</f>
        <v>1.5</v>
      </c>
      <c r="G34" s="1379"/>
      <c r="H34" s="2692"/>
      <c r="I34" s="1393"/>
      <c r="J34" s="1394"/>
      <c r="K34" s="2697"/>
      <c r="L34" s="2698"/>
      <c r="M34" s="2698"/>
    </row>
    <row r="35" spans="1:18" ht="18" customHeight="1">
      <c r="A35" s="1099"/>
      <c r="B35" s="1097"/>
      <c r="C35" s="26"/>
      <c r="D35" s="326"/>
      <c r="E35" s="301" t="s">
        <v>736</v>
      </c>
      <c r="F35" s="302">
        <f ca="1">INDIRECT("'数据-取费表'!r"&amp;$G$1)</f>
        <v>5141.84</v>
      </c>
      <c r="G35" s="1379"/>
      <c r="H35" s="2692"/>
      <c r="I35" s="1393"/>
      <c r="J35" s="1394"/>
      <c r="K35" s="2696"/>
      <c r="L35" s="2695"/>
      <c r="M35" s="2695"/>
    </row>
    <row r="36" spans="1:18" ht="18" customHeight="1">
      <c r="A36" s="1098" t="s">
        <v>402</v>
      </c>
      <c r="B36" s="301" t="s">
        <v>738</v>
      </c>
      <c r="C36" s="21">
        <f ca="1">ROUND(C29*F36,2)</f>
        <v>125.67</v>
      </c>
      <c r="D36" s="1339" t="s">
        <v>771</v>
      </c>
      <c r="E36" s="301" t="s">
        <v>712</v>
      </c>
      <c r="F36" s="327">
        <f ca="1">INDIRECT("'数据-取费表'!Ak"&amp;$G$1)</f>
        <v>5.0000000000000001E-3</v>
      </c>
      <c r="G36" s="1379"/>
      <c r="H36" s="2695"/>
      <c r="I36" s="1393"/>
      <c r="J36" s="1394"/>
      <c r="K36" s="2539"/>
      <c r="L36" s="2695"/>
      <c r="M36" s="2695"/>
    </row>
    <row r="37" spans="1:18" ht="18" customHeight="1">
      <c r="A37" s="978" t="s">
        <v>437</v>
      </c>
      <c r="B37" s="301" t="s">
        <v>742</v>
      </c>
      <c r="C37" s="21">
        <f ca="1">ROUND(C13*F37,2)</f>
        <v>33.18</v>
      </c>
      <c r="D37" s="1339" t="s">
        <v>743</v>
      </c>
      <c r="E37" s="301" t="s">
        <v>744</v>
      </c>
      <c r="F37" s="329">
        <f ca="1">INDIRECT("'数据-取费表'!Al"&amp;$G$1)</f>
        <v>1.5E-3</v>
      </c>
      <c r="G37" s="1379"/>
      <c r="H37" s="2695"/>
      <c r="I37" s="1393"/>
      <c r="J37" s="1394"/>
      <c r="K37" s="2539"/>
      <c r="L37" s="2695"/>
      <c r="M37" s="2695"/>
    </row>
    <row r="38" spans="1:18" ht="18" customHeight="1" thickBot="1">
      <c r="A38" s="1085" t="s">
        <v>684</v>
      </c>
      <c r="B38" s="1086" t="s">
        <v>728</v>
      </c>
      <c r="C38" s="1087">
        <f ca="1">ROUND(C5*F38,2)</f>
        <v>18.54</v>
      </c>
      <c r="D38" s="1088" t="s">
        <v>748</v>
      </c>
      <c r="E38" s="1086" t="s">
        <v>744</v>
      </c>
      <c r="F38" s="1082">
        <f ca="1">INDIRECT("'数据-取费表'!Am"&amp;$G$1)</f>
        <v>5.0000000000000001E-3</v>
      </c>
      <c r="G38" s="1379"/>
      <c r="H38" s="2695"/>
      <c r="I38" s="1393"/>
      <c r="J38" s="1394"/>
      <c r="K38" s="2699"/>
      <c r="L38" s="2695"/>
      <c r="M38" s="2695"/>
    </row>
    <row r="39" spans="1:18" ht="24.6" customHeight="1" thickTop="1">
      <c r="A39" s="1075" t="s">
        <v>394</v>
      </c>
      <c r="B39" s="1090" t="s">
        <v>772</v>
      </c>
      <c r="C39" s="309">
        <f ca="1">C5-C30</f>
        <v>2909</v>
      </c>
      <c r="D39" s="1091" t="s">
        <v>773</v>
      </c>
      <c r="E39" s="1092"/>
      <c r="F39" s="1093"/>
      <c r="G39" s="1379"/>
      <c r="H39" s="2695"/>
      <c r="I39" s="1393">
        <f ca="1">C39/C6</f>
        <v>0.78557926005941126</v>
      </c>
      <c r="J39" s="1394"/>
      <c r="K39" s="2699"/>
      <c r="L39" s="2695"/>
      <c r="M39" s="2695"/>
    </row>
    <row r="40" spans="1:18" ht="18" customHeight="1">
      <c r="A40" s="298" t="s">
        <v>395</v>
      </c>
      <c r="B40" s="299" t="s">
        <v>774</v>
      </c>
      <c r="C40" s="300">
        <f ca="1">ROUND(C39*(1-((1+F42)/(1+F40))^F41)/(F40-F42),0)</f>
        <v>58489</v>
      </c>
      <c r="D40" s="323" t="s">
        <v>758</v>
      </c>
      <c r="E40" s="301" t="s">
        <v>759</v>
      </c>
      <c r="F40" s="311">
        <f ca="1">INDIRECT("'数据-取费表'!I"&amp;$G$1)</f>
        <v>5.5E-2</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32.04</v>
      </c>
      <c r="G41" s="1379"/>
      <c r="H41" s="1186"/>
      <c r="I41" s="1393"/>
      <c r="J41" s="1394"/>
      <c r="K41" s="2539"/>
      <c r="L41" s="1186"/>
      <c r="M41" s="1186"/>
    </row>
    <row r="42" spans="1:18" ht="18" customHeight="1">
      <c r="A42" s="307"/>
      <c r="B42" s="308"/>
      <c r="C42" s="309"/>
      <c r="D42" s="326"/>
      <c r="E42" s="301" t="s">
        <v>766</v>
      </c>
      <c r="F42" s="311">
        <f ca="1">INDIRECT("'数据-取费表'!v"&amp;$G$1)</f>
        <v>2.5000000000000001E-2</v>
      </c>
      <c r="G42" s="1379"/>
      <c r="H42" s="1186"/>
      <c r="I42" s="1393"/>
      <c r="J42" s="1394"/>
      <c r="K42" s="2539"/>
      <c r="L42" s="1186"/>
      <c r="M42" s="1186"/>
    </row>
    <row r="43" spans="1:18" ht="18" customHeight="1" thickBot="1">
      <c r="A43" s="333" t="s">
        <v>396</v>
      </c>
      <c r="B43" s="334" t="s">
        <v>776</v>
      </c>
      <c r="C43" s="335">
        <f ca="1">ROUND(C40*10000/F43,0)</f>
        <v>18160</v>
      </c>
      <c r="D43" s="336" t="s">
        <v>777</v>
      </c>
      <c r="E43" s="337" t="s">
        <v>778</v>
      </c>
      <c r="F43" s="338">
        <f ca="1">INDIRECT("'数据-取费表'!k"&amp;$G$1)</f>
        <v>32206.960000000006</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-60875</v>
      </c>
      <c r="D46" s="1401" t="str">
        <f>C2</f>
        <v>万元</v>
      </c>
      <c r="E46" s="1395"/>
      <c r="F46" s="1395"/>
      <c r="I46" s="1402" t="s">
        <v>810</v>
      </c>
      <c r="J46" s="1403"/>
      <c r="K46" s="1404"/>
      <c r="L46" s="1405">
        <f ca="1">IF(M47="住宅",0,IF(L48&gt;J51,L60,J60))</f>
        <v>991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0"/>
      <c r="I47" s="1409" t="s">
        <v>815</v>
      </c>
      <c r="J47" s="1410" t="s">
        <v>3432</v>
      </c>
      <c r="K47" s="1411" t="s">
        <v>816</v>
      </c>
      <c r="L47" s="1412">
        <f ca="1">INDIRECT("'数据-取费表'!d"&amp;$G$1)</f>
        <v>50</v>
      </c>
      <c r="M47" s="1375" t="str">
        <f>IF(ISNUMBER(FIND("住宅",C1)),"住宅","非住宅")</f>
        <v>非住宅</v>
      </c>
      <c r="O47" s="1413" t="s">
        <v>403</v>
      </c>
      <c r="P47" s="1414" t="s">
        <v>817</v>
      </c>
      <c r="Q47" s="1415">
        <f ca="1">C40+J29</f>
        <v>58489</v>
      </c>
      <c r="R47" s="1415" t="s">
        <v>818</v>
      </c>
    </row>
    <row r="48" spans="1:18" s="1379" customFormat="1" ht="28.5" thickBot="1">
      <c r="A48" s="1106" t="s">
        <v>438</v>
      </c>
      <c r="B48" s="299" t="s">
        <v>692</v>
      </c>
      <c r="C48" s="1354">
        <f ca="1">C49+C53+C55</f>
        <v>0</v>
      </c>
      <c r="D48" s="1108"/>
      <c r="E48" s="1109"/>
      <c r="F48" s="958"/>
      <c r="G48" s="720"/>
      <c r="H48" s="721"/>
      <c r="I48" s="1416" t="s">
        <v>819</v>
      </c>
      <c r="J48" s="1417" t="s">
        <v>3433</v>
      </c>
      <c r="K48" s="1418" t="s">
        <v>820</v>
      </c>
      <c r="L48" s="1419">
        <f ca="1">INDIRECT("'数据-取费表'!f"&amp;$G$1)</f>
        <v>32.04</v>
      </c>
      <c r="O48" s="1413" t="s">
        <v>404</v>
      </c>
      <c r="P48" s="1414" t="s">
        <v>821</v>
      </c>
      <c r="Q48" s="1415">
        <f ca="1">J60</f>
        <v>991</v>
      </c>
      <c r="R48" s="1415" t="s">
        <v>822</v>
      </c>
    </row>
    <row r="49" spans="1:18" s="1379" customFormat="1" ht="13.5" thickBot="1">
      <c r="A49" s="971" t="s">
        <v>439</v>
      </c>
      <c r="B49" s="1366" t="s">
        <v>779</v>
      </c>
      <c r="C49" s="1110">
        <f ca="1">ROUND(F49*F51*F50*(1-F52)/10000,0)</f>
        <v>0</v>
      </c>
      <c r="D49" s="1051" t="s">
        <v>2107</v>
      </c>
      <c r="E49" s="1367" t="s">
        <v>780</v>
      </c>
      <c r="F49" s="1056"/>
      <c r="G49" s="1420"/>
      <c r="H49" s="721"/>
      <c r="I49" s="1416" t="s">
        <v>823</v>
      </c>
      <c r="J49" s="1421">
        <v>2017</v>
      </c>
      <c r="K49" s="1418" t="s">
        <v>824</v>
      </c>
      <c r="L49" s="1422"/>
      <c r="O49" s="1423" t="s">
        <v>405</v>
      </c>
      <c r="P49" s="1414" t="s">
        <v>825</v>
      </c>
      <c r="Q49" s="1415">
        <f ca="1">C29</f>
        <v>25134</v>
      </c>
      <c r="R49" s="1415" t="s">
        <v>818</v>
      </c>
    </row>
    <row r="50" spans="1:18" s="1379" customFormat="1" ht="13.5" thickBot="1">
      <c r="A50" s="972"/>
      <c r="B50" s="975"/>
      <c r="C50" s="1114"/>
      <c r="D50" s="949"/>
      <c r="E50" s="1052" t="s">
        <v>697</v>
      </c>
      <c r="F50" s="1053">
        <f ca="1">F7</f>
        <v>32206.960000000006</v>
      </c>
      <c r="H50" s="721"/>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2">
        <f ca="1">F8</f>
        <v>365</v>
      </c>
      <c r="I51" s="1427" t="s">
        <v>829</v>
      </c>
      <c r="J51" s="1428">
        <f>IF(J49="",J50,J49+J50-YEAR('数据-取费表'!B2))</f>
        <v>53</v>
      </c>
      <c r="K51" s="1429" t="s">
        <v>830</v>
      </c>
      <c r="L51" s="1430">
        <f ca="1">ROUND(-PV(INDIRECT("'数据-取费表'!h"&amp;$G$1),J51,(C39-C13*C76),0),0)</f>
        <v>25165</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1433">
        <v>7.4999999999999997E-2</v>
      </c>
      <c r="K52" s="1432" t="s">
        <v>833</v>
      </c>
      <c r="L52" s="1433"/>
      <c r="O52" s="1423" t="s">
        <v>408</v>
      </c>
      <c r="P52" s="1414" t="s">
        <v>834</v>
      </c>
      <c r="Q52" s="1415">
        <f ca="1">J53</f>
        <v>32.04</v>
      </c>
      <c r="R52" s="1415" t="s">
        <v>835</v>
      </c>
    </row>
    <row r="53" spans="1:18" s="1379" customFormat="1" ht="24.75" thickBot="1">
      <c r="A53" s="1148" t="s">
        <v>440</v>
      </c>
      <c r="B53" s="1368" t="s">
        <v>700</v>
      </c>
      <c r="C53" s="315">
        <f ca="1">ROUND(IF(F53="押一",C49/12*F11,IF(F53="押二",C49/12*2*F11,IF(F53="押三",C49/12*3*F11,C54*F11))),0)</f>
        <v>0</v>
      </c>
      <c r="D53" s="1361" t="s">
        <v>2113</v>
      </c>
      <c r="E53" s="312" t="s">
        <v>701</v>
      </c>
      <c r="F53" s="1112"/>
      <c r="I53" s="1434" t="s">
        <v>836</v>
      </c>
      <c r="J53" s="2163">
        <f ca="1">IF(M47="住宅",IF(D1="——",MAX(J51,L48),MAX(J51,L48-'数据-取费表'!B24)),IF(D1="——",MIN(J51,L48),MIN(J51,L48-'数据-取费表'!B24)))</f>
        <v>32.04</v>
      </c>
      <c r="K53" s="3678" t="s">
        <v>837</v>
      </c>
      <c r="L53" s="3679"/>
      <c r="O53" s="1413" t="s">
        <v>409</v>
      </c>
      <c r="P53" s="1414" t="s">
        <v>838</v>
      </c>
      <c r="Q53" s="1415">
        <f ca="1">Q47+Q48</f>
        <v>59480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0.34899999999999998</v>
      </c>
      <c r="K55" s="1440" t="s">
        <v>841</v>
      </c>
      <c r="L55" s="1441"/>
      <c r="O55" s="1406" t="s">
        <v>811</v>
      </c>
      <c r="P55" s="1407" t="s">
        <v>812</v>
      </c>
      <c r="Q55" s="1408" t="s">
        <v>813</v>
      </c>
      <c r="R55" s="1408" t="s">
        <v>814</v>
      </c>
    </row>
    <row r="56" spans="1:18" s="1379" customFormat="1" ht="25.5" thickTop="1" thickBot="1">
      <c r="A56" s="953">
        <v>2</v>
      </c>
      <c r="B56" s="954" t="s">
        <v>704</v>
      </c>
      <c r="C56" s="231">
        <f ca="1">C13</f>
        <v>22118</v>
      </c>
      <c r="D56" s="1442"/>
      <c r="E56" s="1443"/>
      <c r="F56" s="1435"/>
      <c r="I56" s="1444" t="s">
        <v>842</v>
      </c>
      <c r="J56" s="1445" t="s">
        <v>3401</v>
      </c>
      <c r="K56" s="1416" t="s">
        <v>843</v>
      </c>
      <c r="L56" s="1419" t="str">
        <f ca="1">IF(L48&lt;J51,"——",L48-J53)</f>
        <v>——</v>
      </c>
      <c r="O56" s="1413" t="s">
        <v>403</v>
      </c>
      <c r="P56" s="1414" t="s">
        <v>817</v>
      </c>
      <c r="Q56" s="1415">
        <f ca="1">C40+J29</f>
        <v>58489</v>
      </c>
      <c r="R56" s="1415" t="s">
        <v>818</v>
      </c>
    </row>
    <row r="57" spans="1:18" s="1379" customFormat="1" ht="24.75" thickBot="1">
      <c r="A57" s="1446"/>
      <c r="B57" s="946" t="s">
        <v>767</v>
      </c>
      <c r="C57" s="237">
        <f ca="1">C29</f>
        <v>25134</v>
      </c>
      <c r="D57" s="1447"/>
      <c r="E57" s="1448"/>
      <c r="F57" s="1449"/>
      <c r="I57" s="1450" t="s">
        <v>844</v>
      </c>
      <c r="J57" s="1451">
        <f ca="1">IF(OR(M47="住宅",J51&lt;L48,J56="是"),"——",J51-L48)</f>
        <v>20.96</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160</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1</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10054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f ca="1">IF(OR(M47="住宅",J51&lt;L48,J56="是"),"0",ROUND(J59/(1+J52)^J53,0))</f>
        <v>991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3337</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0.77</v>
      </c>
      <c r="D62" s="961" t="s">
        <v>786</v>
      </c>
      <c r="E62" s="946" t="s">
        <v>787</v>
      </c>
      <c r="F62" s="324">
        <f t="shared" si="0"/>
        <v>1.5</v>
      </c>
      <c r="I62" s="1457" t="s">
        <v>858</v>
      </c>
      <c r="J62" s="1458" t="s">
        <v>859</v>
      </c>
      <c r="K62" s="1458" t="s">
        <v>860</v>
      </c>
      <c r="L62" s="1458" t="s">
        <v>861</v>
      </c>
      <c r="M62" s="1459" t="s">
        <v>862</v>
      </c>
      <c r="O62" s="1413" t="s">
        <v>409</v>
      </c>
      <c r="P62" s="1414" t="s">
        <v>863</v>
      </c>
      <c r="Q62" s="1415">
        <f ca="1">Q56+Q57</f>
        <v>58489</v>
      </c>
      <c r="R62" s="1415" t="s">
        <v>410</v>
      </c>
    </row>
    <row r="63" spans="1:18" s="1379" customFormat="1" ht="13.5" thickBot="1">
      <c r="A63" s="325"/>
      <c r="B63" s="952"/>
      <c r="C63" s="26"/>
      <c r="D63" s="962"/>
      <c r="E63" s="946" t="s">
        <v>788</v>
      </c>
      <c r="F63" s="302">
        <f t="shared" ca="1" si="0"/>
        <v>5141.84</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125.67</v>
      </c>
      <c r="D64" s="960" t="s">
        <v>791</v>
      </c>
      <c r="E64" s="946" t="s">
        <v>783</v>
      </c>
      <c r="F64" s="327">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33.18</v>
      </c>
      <c r="D65" s="960" t="s">
        <v>743</v>
      </c>
      <c r="E65" s="946" t="s">
        <v>744</v>
      </c>
      <c r="F65" s="329">
        <f t="shared" ca="1" si="0"/>
        <v>1.5E-3</v>
      </c>
      <c r="I65" s="1457" t="s">
        <v>867</v>
      </c>
      <c r="J65" s="1458">
        <v>40</v>
      </c>
      <c r="K65" s="1458">
        <v>30</v>
      </c>
      <c r="L65" s="1458">
        <v>50</v>
      </c>
      <c r="M65" s="1460">
        <v>0.02</v>
      </c>
      <c r="O65" s="1413" t="s">
        <v>403</v>
      </c>
      <c r="P65" s="1414" t="s">
        <v>868</v>
      </c>
      <c r="Q65" s="1415">
        <f ca="1">C40+J29</f>
        <v>58489</v>
      </c>
      <c r="R65" s="1415" t="s">
        <v>818</v>
      </c>
    </row>
    <row r="66" spans="1:18" s="1379" customFormat="1" ht="16.5" thickBot="1">
      <c r="A66" s="978" t="s">
        <v>793</v>
      </c>
      <c r="B66" s="946" t="s">
        <v>728</v>
      </c>
      <c r="C66" s="21">
        <f ca="1">ROUND(C48*F66,2)</f>
        <v>0</v>
      </c>
      <c r="D66" s="960" t="s">
        <v>794</v>
      </c>
      <c r="E66" s="946" t="s">
        <v>712</v>
      </c>
      <c r="F66" s="311">
        <f t="shared" ca="1" si="0"/>
        <v>5.0000000000000001E-3</v>
      </c>
      <c r="O66" s="1413" t="s">
        <v>404</v>
      </c>
      <c r="P66" s="1414" t="s">
        <v>846</v>
      </c>
      <c r="Q66" s="1415">
        <f ca="1">L60</f>
        <v>0</v>
      </c>
      <c r="R66" s="1415" t="s">
        <v>869</v>
      </c>
    </row>
    <row r="67" spans="1:18" s="1379" customFormat="1" ht="16.5" thickBot="1">
      <c r="A67" s="953" t="s">
        <v>394</v>
      </c>
      <c r="B67" s="963" t="s">
        <v>752</v>
      </c>
      <c r="C67" s="315">
        <f ca="1">C48-C58</f>
        <v>-160</v>
      </c>
      <c r="D67" s="959" t="s">
        <v>753</v>
      </c>
      <c r="E67" s="964"/>
      <c r="F67" s="965"/>
      <c r="O67" s="1423" t="s">
        <v>405</v>
      </c>
      <c r="P67" s="1414" t="s">
        <v>850</v>
      </c>
      <c r="Q67" s="1461">
        <f ca="1">L51</f>
        <v>25165</v>
      </c>
      <c r="R67" s="1415" t="s">
        <v>870</v>
      </c>
    </row>
    <row r="68" spans="1:18" s="1379" customFormat="1" ht="16.5" thickBot="1">
      <c r="A68" s="943" t="s">
        <v>395</v>
      </c>
      <c r="B68" s="944" t="s">
        <v>774</v>
      </c>
      <c r="C68" s="300">
        <f ca="1">ROUND(C67*(1-((1+F70)/(1+F68))^F69)/(F68-F70),0)</f>
        <v>-2386</v>
      </c>
      <c r="D68" s="961" t="s">
        <v>758</v>
      </c>
      <c r="E68" s="946" t="s">
        <v>759</v>
      </c>
      <c r="F68" s="311">
        <f ca="1">F40</f>
        <v>5.5E-2</v>
      </c>
      <c r="O68" s="1423" t="s">
        <v>406</v>
      </c>
      <c r="P68" s="1462" t="s">
        <v>871</v>
      </c>
      <c r="Q68" s="1415">
        <f ca="1">ROUND(Q69-Q70*Q71,0)</f>
        <v>1361</v>
      </c>
      <c r="R68" s="1415" t="s">
        <v>414</v>
      </c>
    </row>
    <row r="69" spans="1:18" s="1379" customFormat="1" ht="13.5" thickBot="1">
      <c r="A69" s="947"/>
      <c r="B69" s="948"/>
      <c r="C69" s="305"/>
      <c r="D69" s="966" t="s">
        <v>762</v>
      </c>
      <c r="E69" s="946" t="s">
        <v>763</v>
      </c>
      <c r="F69" s="332">
        <f ca="1">F41</f>
        <v>32.04</v>
      </c>
      <c r="O69" s="1423" t="s">
        <v>411</v>
      </c>
      <c r="P69" s="1462" t="s">
        <v>872</v>
      </c>
      <c r="Q69" s="1415">
        <f ca="1">C39</f>
        <v>2909</v>
      </c>
      <c r="R69" s="1415" t="s">
        <v>818</v>
      </c>
    </row>
    <row r="70" spans="1:18" s="1379" customFormat="1" ht="13.5" thickBot="1">
      <c r="A70" s="950"/>
      <c r="B70" s="951"/>
      <c r="C70" s="309"/>
      <c r="D70" s="962"/>
      <c r="E70" s="946" t="s">
        <v>766</v>
      </c>
      <c r="F70" s="1050"/>
      <c r="O70" s="1423" t="s">
        <v>412</v>
      </c>
      <c r="P70" s="1462" t="s">
        <v>873</v>
      </c>
      <c r="Q70" s="1415">
        <f ca="1">C13</f>
        <v>22118</v>
      </c>
      <c r="R70" s="1415" t="s">
        <v>818</v>
      </c>
    </row>
    <row r="71" spans="1:18" s="1379" customFormat="1" ht="13.5" thickBot="1">
      <c r="A71" s="967" t="s">
        <v>396</v>
      </c>
      <c r="B71" s="968" t="s">
        <v>776</v>
      </c>
      <c r="C71" s="335">
        <f ca="1">ROUND(C68*10000/F71,0)</f>
        <v>-741</v>
      </c>
      <c r="D71" s="969" t="s">
        <v>777</v>
      </c>
      <c r="E71" s="970" t="s">
        <v>778</v>
      </c>
      <c r="F71" s="338">
        <f ca="1">F43</f>
        <v>32206.960000000006</v>
      </c>
      <c r="O71" s="1423" t="s">
        <v>413</v>
      </c>
      <c r="P71" s="1462" t="s">
        <v>874</v>
      </c>
      <c r="Q71" s="1426">
        <f ca="1">C76</f>
        <v>7.0000000000000007E-2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1548</v>
      </c>
      <c r="D75" s="1379"/>
      <c r="E75" s="1379"/>
      <c r="F75" s="1379"/>
      <c r="K75" s="1397"/>
      <c r="L75" s="1379"/>
      <c r="O75" s="1413" t="s">
        <v>409</v>
      </c>
      <c r="P75" s="1414" t="s">
        <v>838</v>
      </c>
      <c r="Q75" s="1415">
        <f ca="1">Q65+Q66</f>
        <v>58489</v>
      </c>
      <c r="R75" s="1415" t="s">
        <v>410</v>
      </c>
    </row>
    <row r="76" spans="1:18">
      <c r="B76" s="341" t="s">
        <v>796</v>
      </c>
      <c r="C76" s="342">
        <f ca="1">INDIRECT("'数据-取费表'!j"&amp;$G$1)</f>
        <v>7.0000000000000007E-2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0.46799999999999997</v>
      </c>
      <c r="D79" s="257">
        <f ca="1">ROUND(C79*B2,0)</f>
        <v>27837</v>
      </c>
    </row>
    <row r="80" spans="1:18">
      <c r="B80" s="339" t="s">
        <v>800</v>
      </c>
      <c r="C80" s="273">
        <f ca="1">ROUND(C75/C39,3)</f>
        <v>0.53200000000000003</v>
      </c>
      <c r="D80" s="257">
        <f ca="1">B2-D79</f>
        <v>31643</v>
      </c>
    </row>
    <row r="81" spans="2:4">
      <c r="B81" s="269" t="s">
        <v>801</v>
      </c>
      <c r="C81" s="237"/>
    </row>
    <row r="82" spans="2:4">
      <c r="B82" s="272" t="s">
        <v>802</v>
      </c>
      <c r="C82" s="274">
        <f ca="1">1-C83</f>
        <v>0.622</v>
      </c>
      <c r="D82" s="257">
        <f ca="1">ROUND(C82*B2,0)</f>
        <v>36997</v>
      </c>
    </row>
    <row r="83" spans="2:4">
      <c r="B83" s="272" t="s">
        <v>803</v>
      </c>
      <c r="C83" s="273">
        <f ca="1">ROUND(C13/C40,3)</f>
        <v>0.378</v>
      </c>
      <c r="D83" s="257">
        <f ca="1">B2-D82</f>
        <v>22483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1"/>
      <c r="C1" s="1374" t="s">
        <v>3334</v>
      </c>
      <c r="D1" s="1357" t="s">
        <v>43</v>
      </c>
      <c r="E1" s="1358" t="s">
        <v>678</v>
      </c>
      <c r="F1" s="1058">
        <f ca="1">J53</f>
        <v>32.04</v>
      </c>
      <c r="G1" s="1373">
        <f>MATCH(C1,'数据-取费表'!A6:A16,0)+5</f>
        <v>7</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804</v>
      </c>
      <c r="B2" s="1381">
        <f ca="1">C40+J29+L46</f>
        <v>691</v>
      </c>
      <c r="C2" s="1382" t="s">
        <v>805</v>
      </c>
      <c r="D2" s="1382"/>
      <c r="E2" s="1383"/>
      <c r="F2" s="1384"/>
      <c r="G2" s="2701"/>
      <c r="H2" s="2690"/>
      <c r="I2" s="2690"/>
      <c r="J2" s="2690"/>
      <c r="K2" s="2691"/>
      <c r="L2" s="2690"/>
      <c r="M2" s="2690"/>
    </row>
    <row r="3" spans="1:37" ht="18" customHeight="1" thickBot="1">
      <c r="A3" s="1385" t="s">
        <v>806</v>
      </c>
      <c r="B3" s="1386">
        <f ca="1">IF(ISERROR(B2*10000/F43),0,ROUND(B2*10000/F43,0))</f>
        <v>957</v>
      </c>
      <c r="C3" s="1382" t="s">
        <v>807</v>
      </c>
      <c r="D3" s="1382"/>
      <c r="E3" s="1383"/>
      <c r="F3" s="1384"/>
      <c r="G3" s="2701"/>
      <c r="H3" s="681" t="s">
        <v>876</v>
      </c>
      <c r="I3" s="1377"/>
      <c r="J3" s="1377"/>
      <c r="K3" s="1378"/>
      <c r="L3" s="1377"/>
      <c r="M3" s="1377"/>
    </row>
    <row r="4" spans="1:37" ht="18" customHeight="1">
      <c r="A4" s="294" t="s">
        <v>687</v>
      </c>
      <c r="B4" s="295" t="s">
        <v>688</v>
      </c>
      <c r="C4" s="295" t="s">
        <v>689</v>
      </c>
      <c r="D4" s="295" t="s">
        <v>690</v>
      </c>
      <c r="E4" s="296" t="s">
        <v>691</v>
      </c>
      <c r="F4" s="297"/>
      <c r="G4" s="1379"/>
      <c r="H4" s="294" t="s">
        <v>687</v>
      </c>
      <c r="I4" s="295" t="s">
        <v>688</v>
      </c>
      <c r="J4" s="295" t="s">
        <v>689</v>
      </c>
      <c r="K4" s="295" t="s">
        <v>690</v>
      </c>
      <c r="L4" s="296" t="s">
        <v>691</v>
      </c>
      <c r="M4" s="297"/>
    </row>
    <row r="5" spans="1:37" ht="18" customHeight="1">
      <c r="A5" s="298">
        <v>1</v>
      </c>
      <c r="B5" s="299" t="s">
        <v>692</v>
      </c>
      <c r="C5" s="1066">
        <f ca="1">C6+C10+C12</f>
        <v>68</v>
      </c>
      <c r="D5" s="1359" t="s">
        <v>693</v>
      </c>
      <c r="E5" s="1067"/>
      <c r="F5" s="1068"/>
      <c r="G5" s="1379"/>
      <c r="H5" s="298">
        <v>1</v>
      </c>
      <c r="I5" s="299" t="s">
        <v>692</v>
      </c>
      <c r="J5" s="1066">
        <f ca="1">J6+J10+J12</f>
        <v>0</v>
      </c>
      <c r="K5" s="1359" t="s">
        <v>693</v>
      </c>
      <c r="L5" s="1067"/>
      <c r="M5" s="1068"/>
    </row>
    <row r="6" spans="1:37" ht="18" customHeight="1">
      <c r="A6" s="1065" t="s">
        <v>398</v>
      </c>
      <c r="B6" s="3680" t="s">
        <v>694</v>
      </c>
      <c r="C6" s="1070">
        <f ca="1">ROUND(F6*F8*F7*(1-F9)/10000,0)</f>
        <v>68</v>
      </c>
      <c r="D6" s="154" t="s">
        <v>2106</v>
      </c>
      <c r="E6" s="301" t="s">
        <v>696</v>
      </c>
      <c r="F6" s="302">
        <f ca="1">INDIRECT("'数据-取费表'!u"&amp;$G$1)</f>
        <v>500</v>
      </c>
      <c r="G6" s="1379"/>
      <c r="H6" s="1065" t="s">
        <v>398</v>
      </c>
      <c r="I6" s="3680" t="s">
        <v>694</v>
      </c>
      <c r="J6" s="300">
        <f ca="1">ROUND(M6*M8*M7*(1-M9)/10000,0)</f>
        <v>0</v>
      </c>
      <c r="K6" s="154" t="s">
        <v>2105</v>
      </c>
      <c r="L6" s="301" t="s">
        <v>696</v>
      </c>
      <c r="M6" s="302">
        <f ca="1">INDIRECT("'数据-取费表'!z"&amp;$G$1)</f>
        <v>0</v>
      </c>
    </row>
    <row r="7" spans="1:37" ht="18" customHeight="1">
      <c r="A7" s="1069"/>
      <c r="B7" s="3681"/>
      <c r="C7" s="1071"/>
      <c r="D7" s="306"/>
      <c r="E7" s="3447" t="s">
        <v>697</v>
      </c>
      <c r="F7" s="302">
        <f ca="1">IF(INDIRECT("'数据-取费表'!ah"&amp;$G$1)="",INDIRECT("'数据-取费表'!k"&amp;$G$1),INDIRECT("'数据-取费表'!ah"&amp;$G$1))</f>
        <v>126</v>
      </c>
      <c r="G7" s="1379"/>
      <c r="H7" s="303"/>
      <c r="I7" s="3681"/>
      <c r="J7" s="305"/>
      <c r="K7" s="306"/>
      <c r="L7" s="301" t="s">
        <v>697</v>
      </c>
      <c r="M7" s="302">
        <f ca="1">F7</f>
        <v>126</v>
      </c>
    </row>
    <row r="8" spans="1:37" ht="18" customHeight="1">
      <c r="A8" s="303"/>
      <c r="B8" s="3681"/>
      <c r="C8" s="305"/>
      <c r="D8" s="306"/>
      <c r="E8" s="301" t="s">
        <v>698</v>
      </c>
      <c r="F8" s="302">
        <f ca="1">INDIRECT("'数据-取费表'!ai"&amp;$G$1)</f>
        <v>12</v>
      </c>
      <c r="G8" s="1379"/>
      <c r="H8" s="303"/>
      <c r="I8" s="3681"/>
      <c r="J8" s="305"/>
      <c r="K8" s="306"/>
      <c r="L8" s="301" t="s">
        <v>698</v>
      </c>
      <c r="M8" s="302">
        <f ca="1">INDIRECT("'数据-取费表'!ai"&amp;$G$1)</f>
        <v>12</v>
      </c>
    </row>
    <row r="9" spans="1:37" ht="18" customHeight="1">
      <c r="A9" s="303"/>
      <c r="B9" s="3682"/>
      <c r="C9" s="305"/>
      <c r="D9" s="306"/>
      <c r="E9" s="301" t="s">
        <v>699</v>
      </c>
      <c r="F9" s="311">
        <f ca="1">INDIRECT("'数据-取费表'!w"&amp;$G$1)</f>
        <v>0.1</v>
      </c>
      <c r="G9" s="1379"/>
      <c r="H9" s="303"/>
      <c r="I9" s="3682"/>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2113</v>
      </c>
      <c r="E10" s="312" t="s">
        <v>701</v>
      </c>
      <c r="F10" s="1112" t="s">
        <v>3608</v>
      </c>
      <c r="G10" s="1379"/>
      <c r="H10" s="1065" t="s">
        <v>402</v>
      </c>
      <c r="I10" s="1360" t="s">
        <v>700</v>
      </c>
      <c r="J10" s="300">
        <f ca="1">ROUND(IF(M10="押一",J6/12*M11,IF(M10="押二",J6/12*2*M11,IF(M10="押三",J6/12*3*M11,J11*M11))),0)</f>
        <v>0</v>
      </c>
      <c r="K10" s="1361" t="s">
        <v>2113</v>
      </c>
      <c r="L10" s="312" t="s">
        <v>701</v>
      </c>
      <c r="M10" s="1112"/>
    </row>
    <row r="11" spans="1:37" ht="18" customHeight="1">
      <c r="A11" s="307"/>
      <c r="B11" s="1362" t="s">
        <v>679</v>
      </c>
      <c r="C11" s="955"/>
      <c r="D11" s="1363"/>
      <c r="E11" s="312" t="s">
        <v>702</v>
      </c>
      <c r="F11" s="313">
        <f ca="1">'数据-取费表'!B39</f>
        <v>1.4999999999999999E-2</v>
      </c>
      <c r="G11" s="1379"/>
      <c r="H11" s="1073"/>
      <c r="I11" s="1362" t="s">
        <v>679</v>
      </c>
      <c r="J11" s="955"/>
      <c r="K11" s="682"/>
      <c r="L11" s="312" t="s">
        <v>702</v>
      </c>
      <c r="M11" s="860">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4047</v>
      </c>
      <c r="D13" s="3444" t="s">
        <v>705</v>
      </c>
      <c r="E13" s="3444" t="s">
        <v>706</v>
      </c>
      <c r="F13" s="1078">
        <f ca="1">INDIRECT("'数据-取费表'!y"&amp;$G$1)</f>
        <v>0.88</v>
      </c>
      <c r="G13" s="1379"/>
      <c r="H13" s="1075">
        <v>2</v>
      </c>
      <c r="I13" s="1076" t="s">
        <v>704</v>
      </c>
      <c r="J13" s="1064">
        <f ca="1">ROUND(J14*J15,0)</f>
        <v>0</v>
      </c>
      <c r="K13" s="1083" t="s">
        <v>705</v>
      </c>
      <c r="L13" s="1387"/>
      <c r="M13" s="1388"/>
    </row>
    <row r="14" spans="1:37" ht="18" customHeight="1">
      <c r="A14" s="978" t="s">
        <v>397</v>
      </c>
      <c r="B14" s="301" t="s">
        <v>707</v>
      </c>
      <c r="C14" s="317">
        <f ca="1">INDIRECT("'数据-取费表'!m"&amp;$G$1)+INDIRECT("'数据-取费表'!t"&amp;$G$1)</f>
        <v>3490</v>
      </c>
      <c r="D14" s="3450" t="s">
        <v>708</v>
      </c>
      <c r="E14" s="3449"/>
      <c r="F14" s="318"/>
      <c r="G14" s="1379"/>
      <c r="H14" s="978" t="s">
        <v>398</v>
      </c>
      <c r="I14" s="301" t="s">
        <v>709</v>
      </c>
      <c r="J14" s="21">
        <f ca="1">C29</f>
        <v>4599</v>
      </c>
      <c r="K14" s="3446"/>
      <c r="L14" s="805"/>
      <c r="M14" s="806"/>
    </row>
    <row r="15" spans="1:37" s="1392" customFormat="1" ht="18" customHeight="1" thickBot="1">
      <c r="A15" s="978" t="s">
        <v>399</v>
      </c>
      <c r="B15" s="301" t="s">
        <v>710</v>
      </c>
      <c r="C15" s="21">
        <f ca="1">ROUND(C14*F15,0)</f>
        <v>140</v>
      </c>
      <c r="D15" s="3445" t="s">
        <v>711</v>
      </c>
      <c r="E15" s="3445" t="s">
        <v>712</v>
      </c>
      <c r="F15" s="320">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79"/>
      <c r="H16" s="1075" t="s">
        <v>393</v>
      </c>
      <c r="I16" s="1076" t="s">
        <v>714</v>
      </c>
      <c r="J16" s="309">
        <f ca="1">ROUND(J17+J22+J23+J24,0)</f>
        <v>23</v>
      </c>
      <c r="K16" s="1083" t="s">
        <v>715</v>
      </c>
      <c r="L16" s="3452"/>
      <c r="M16" s="1068"/>
    </row>
    <row r="17" spans="1:37" s="1392" customFormat="1" ht="18" customHeight="1">
      <c r="A17" s="978" t="s">
        <v>681</v>
      </c>
      <c r="B17" s="301" t="s">
        <v>716</v>
      </c>
      <c r="C17" s="21">
        <f ca="1">ROUND(F17*(F43+INDIRECT("'数据-取费表'!S"&amp;$G$1))/10000,0)</f>
        <v>145</v>
      </c>
      <c r="D17" s="301" t="s">
        <v>717</v>
      </c>
      <c r="E17" s="301" t="s">
        <v>718</v>
      </c>
      <c r="F17" s="23">
        <f>'数据-取费表'!B35</f>
        <v>200</v>
      </c>
      <c r="G17" s="1391"/>
      <c r="H17" s="978" t="s">
        <v>398</v>
      </c>
      <c r="I17" s="301" t="s">
        <v>719</v>
      </c>
      <c r="J17" s="2311">
        <f ca="1">ROUND(IF(AND(项目基本情况!B11="自然人",项目基本情况!B10="北京市"),J6*M17/(1+'数据-取费表'!C42),J18+J19+J20),2)</f>
        <v>0.17</v>
      </c>
      <c r="K17" s="3450" t="s">
        <v>720</v>
      </c>
      <c r="L17" s="3451"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70</v>
      </c>
      <c r="D18" s="301" t="s">
        <v>711</v>
      </c>
      <c r="E18" s="301" t="s">
        <v>712</v>
      </c>
      <c r="F18" s="321">
        <f>'数据-取费表'!B36</f>
        <v>0.02</v>
      </c>
      <c r="G18" s="1391"/>
      <c r="H18" s="978" t="s">
        <v>397</v>
      </c>
      <c r="I18" s="301" t="s">
        <v>723</v>
      </c>
      <c r="J18" s="21">
        <f ca="1">ROUND(J6*M18/(1+'数据-取费表'!C42),2)</f>
        <v>0</v>
      </c>
      <c r="K18" s="3451"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3845</v>
      </c>
      <c r="D19" s="130" t="s">
        <v>726</v>
      </c>
      <c r="E19" s="3454"/>
      <c r="F19" s="23"/>
      <c r="G19" s="1379"/>
      <c r="H19" s="978" t="s">
        <v>399</v>
      </c>
      <c r="I19" s="301" t="s">
        <v>727</v>
      </c>
      <c r="J19" s="21">
        <f ca="1">IF(K19="按租金收入计税",ROUND(J6*M19/(1+'数据-取费表'!C42),2),ROUND(C29*M19*0.7,2))</f>
        <v>0</v>
      </c>
      <c r="K19" s="1365" t="s">
        <v>3337</v>
      </c>
      <c r="L19" s="301" t="s">
        <v>712</v>
      </c>
      <c r="M19" s="321">
        <f>IF(K19="按租金收入计税",'数据-取费表'!B51,'数据-取费表'!B50)</f>
        <v>0.12</v>
      </c>
    </row>
    <row r="20" spans="1:37" s="1392" customFormat="1" ht="18" customHeight="1">
      <c r="A20" s="978" t="s">
        <v>402</v>
      </c>
      <c r="B20" s="301" t="s">
        <v>728</v>
      </c>
      <c r="C20" s="21">
        <f ca="1">ROUND(C19*F20,0)</f>
        <v>77</v>
      </c>
      <c r="D20" s="2423" t="s">
        <v>729</v>
      </c>
      <c r="E20" s="301" t="s">
        <v>712</v>
      </c>
      <c r="F20" s="321">
        <f>'数据-取费表'!B37</f>
        <v>0.02</v>
      </c>
      <c r="G20" s="1391"/>
      <c r="H20" s="978" t="s">
        <v>680</v>
      </c>
      <c r="I20" s="154" t="s">
        <v>730</v>
      </c>
      <c r="J20" s="22">
        <f ca="1">ROUND(M20*M21/10000,2)</f>
        <v>0.17</v>
      </c>
      <c r="K20" s="323" t="s">
        <v>731</v>
      </c>
      <c r="L20" s="301" t="s">
        <v>732</v>
      </c>
      <c r="M20" s="324">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15</v>
      </c>
      <c r="D21" s="2423" t="s">
        <v>734</v>
      </c>
      <c r="E21" s="301" t="s">
        <v>735</v>
      </c>
      <c r="F21" s="321">
        <f>'数据-取费表'!B38</f>
        <v>0.02</v>
      </c>
      <c r="G21" s="1391"/>
      <c r="H21" s="325"/>
      <c r="I21" s="310"/>
      <c r="J21" s="26"/>
      <c r="K21" s="326"/>
      <c r="L21" s="301" t="s">
        <v>736</v>
      </c>
      <c r="M21" s="302">
        <f ca="1">INDIRECT("'数据-取费表'!r"&amp;$G$1)</f>
        <v>1152.51</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54"/>
      <c r="F22" s="23"/>
      <c r="G22" s="1379"/>
      <c r="H22" s="978" t="s">
        <v>402</v>
      </c>
      <c r="I22" s="301" t="s">
        <v>738</v>
      </c>
      <c r="J22" s="21">
        <f ca="1">ROUND(J14*M22,2)</f>
        <v>23</v>
      </c>
      <c r="K22" s="3451" t="s">
        <v>739</v>
      </c>
      <c r="L22" s="301" t="s">
        <v>712</v>
      </c>
      <c r="M22" s="327">
        <f ca="1">INDIRECT("'数据-取费表'!Ak"&amp;$G$1)</f>
        <v>5.0000000000000001E-3</v>
      </c>
    </row>
    <row r="23" spans="1:37" s="1392" customFormat="1" ht="18" customHeight="1">
      <c r="A23" s="978" t="s">
        <v>397</v>
      </c>
      <c r="B23" s="301" t="s">
        <v>740</v>
      </c>
      <c r="C23" s="21">
        <f ca="1">IF('数据-取费表'!B22&lt;=1,ROUND(C19*F24*F23/2,0)+ROUND(C20*F24*F23/2,0),ROUND(C19*(POWER((1+F24),F23/2)-1),0)+ROUND(C20*(POWER((1+F24),F23/2)-1),0))</f>
        <v>136</v>
      </c>
      <c r="D23" s="328" t="str">
        <f>IF(F23&lt;=1,"(建造成本+管理费用)×利率×(建设周期÷2)","(建造成本+管理费用)×((1+利率)^(建设周期÷2)-1)")</f>
        <v>(建造成本+管理费用)×((1+利率)^(建设周期÷2)-1)</v>
      </c>
      <c r="E23" s="301" t="s">
        <v>741</v>
      </c>
      <c r="F23" s="324">
        <f>'数据-取费表'!B20</f>
        <v>2</v>
      </c>
      <c r="G23" s="1391"/>
      <c r="H23" s="978" t="s">
        <v>437</v>
      </c>
      <c r="I23" s="301" t="s">
        <v>742</v>
      </c>
      <c r="J23" s="21">
        <f ca="1">ROUND(J13*M23,2)</f>
        <v>0</v>
      </c>
      <c r="K23" s="3451" t="s">
        <v>743</v>
      </c>
      <c r="L23" s="301" t="s">
        <v>744</v>
      </c>
      <c r="M23" s="329">
        <f ca="1">INDIRECT("'数据-取费表'!Al"&amp;$G$1)</f>
        <v>1.5E-3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1" t="s">
        <v>750</v>
      </c>
      <c r="C25" s="21"/>
      <c r="D25" s="130" t="s">
        <v>751</v>
      </c>
      <c r="E25" s="3454"/>
      <c r="F25" s="23"/>
      <c r="G25" s="1379"/>
      <c r="H25" s="1075" t="s">
        <v>394</v>
      </c>
      <c r="I25" s="1090" t="s">
        <v>752</v>
      </c>
      <c r="J25" s="309">
        <f ca="1">J5-J16</f>
        <v>-23</v>
      </c>
      <c r="K25" s="1091" t="s">
        <v>753</v>
      </c>
      <c r="L25" s="1092"/>
      <c r="M25" s="1093"/>
    </row>
    <row r="26" spans="1:37">
      <c r="A26" s="978" t="s">
        <v>397</v>
      </c>
      <c r="B26" s="301" t="s">
        <v>754</v>
      </c>
      <c r="C26" s="21">
        <f ca="1">ROUND((C19+C20)*F26,0)</f>
        <v>196</v>
      </c>
      <c r="D26" s="2423" t="s">
        <v>755</v>
      </c>
      <c r="E26" s="312" t="s">
        <v>756</v>
      </c>
      <c r="F26" s="311">
        <f ca="1">INDIRECT("'数据-取费表'!q"&amp;$G$1)</f>
        <v>0.05</v>
      </c>
      <c r="G26" s="1379"/>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1E-3</v>
      </c>
      <c r="D27" s="2423" t="s">
        <v>761</v>
      </c>
      <c r="E27" s="3445"/>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2423"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4599</v>
      </c>
      <c r="D29" s="1088"/>
      <c r="E29" s="1086"/>
      <c r="F29" s="1089"/>
      <c r="G29" s="1391"/>
      <c r="H29" s="333" t="s">
        <v>396</v>
      </c>
      <c r="I29" s="334" t="s">
        <v>768</v>
      </c>
      <c r="J29" s="335">
        <f ca="1">ROUND(J26/(1+F40)^F41,0)</f>
        <v>0</v>
      </c>
      <c r="K29" s="336" t="s">
        <v>769</v>
      </c>
      <c r="L29" s="337"/>
      <c r="M29" s="338">
        <f ca="1">INDIRECT("'数据-取费表'!k"&amp;$G$1)</f>
        <v>7219.03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41</v>
      </c>
      <c r="D30" s="1083" t="s">
        <v>715</v>
      </c>
      <c r="E30" s="3452"/>
      <c r="F30" s="1068"/>
      <c r="G30" s="1379"/>
      <c r="H30" s="2692"/>
      <c r="I30" s="1393"/>
      <c r="J30" s="1394"/>
      <c r="K30" s="2470"/>
      <c r="L30" s="2693"/>
      <c r="M30" s="2694"/>
    </row>
    <row r="31" spans="1:37" ht="18" customHeight="1">
      <c r="A31" s="978" t="s">
        <v>398</v>
      </c>
      <c r="B31" s="301" t="s">
        <v>719</v>
      </c>
      <c r="C31" s="2311">
        <f ca="1">ROUND(IF(AND(项目基本情况!B11="自然人",项目基本情况!B10="北京市"),C6*F31/(1+'数据-取费表'!C42),C32+C33+C34),2)</f>
        <v>11.57</v>
      </c>
      <c r="D31" s="3450" t="s">
        <v>720</v>
      </c>
      <c r="E31" s="3451" t="s">
        <v>770</v>
      </c>
      <c r="F31" s="2310" t="str">
        <f>IF(项目基本情况!B11="企业","——",IF(M47="住宅",IF(F6*F7*F8/12/(1+'数据-取费表'!F30)&gt;100000,4%,2.5%),IF(F6*F7*F8/12/(1+'数据-取费表'!F30)&gt;100000,12%,7%)))</f>
        <v>——</v>
      </c>
      <c r="G31" s="1379"/>
      <c r="H31" s="2803" t="s">
        <v>2307</v>
      </c>
      <c r="I31" s="1393"/>
      <c r="J31" s="1394"/>
      <c r="K31" s="2470"/>
      <c r="L31" s="2693"/>
      <c r="M31" s="2694"/>
    </row>
    <row r="32" spans="1:37" ht="18" customHeight="1">
      <c r="A32" s="978" t="s">
        <v>397</v>
      </c>
      <c r="B32" s="301" t="s">
        <v>723</v>
      </c>
      <c r="C32" s="21">
        <f ca="1">IF(项目基本情况!B11="自然人","——",ROUND(C6*F32/(1+'数据-取费表'!C42),2))</f>
        <v>3.63</v>
      </c>
      <c r="D32" s="3451" t="s">
        <v>724</v>
      </c>
      <c r="E32" s="301" t="s">
        <v>712</v>
      </c>
      <c r="F32" s="330">
        <f>'数据-取费表'!B41</f>
        <v>5.6000000000000001E-2</v>
      </c>
      <c r="G32" s="1379"/>
      <c r="H32" s="2692"/>
      <c r="I32" s="1393"/>
      <c r="J32" s="1394"/>
      <c r="K32" s="2470"/>
      <c r="L32" s="2693"/>
      <c r="M32" s="2694"/>
    </row>
    <row r="33" spans="1:18" ht="18" customHeight="1">
      <c r="A33" s="978" t="s">
        <v>399</v>
      </c>
      <c r="B33" s="301" t="s">
        <v>727</v>
      </c>
      <c r="C33" s="21">
        <f ca="1">IF(项目基本情况!B11="自然人","——",IF(D33="按租金收入计税",ROUND(C6*F33/(1+'数据-取费表'!C42),2),IF(D33="按房产原值计税",ROUND(C29*F33*0.7,2),INDIRECT("'数据-取费表'!Aj"&amp;$G$1))))</f>
        <v>7.77</v>
      </c>
      <c r="D33" s="1365" t="s">
        <v>3337</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IF(项目基本情况!B11="自然人","——",ROUND(F34*F35/10000,2))</f>
        <v>0.17</v>
      </c>
      <c r="D34" s="323" t="s">
        <v>731</v>
      </c>
      <c r="E34" s="301" t="s">
        <v>732</v>
      </c>
      <c r="F34" s="324">
        <f>'数据-取费表'!B52</f>
        <v>1.5</v>
      </c>
      <c r="G34" s="1379"/>
      <c r="H34" s="2692"/>
      <c r="I34" s="1393"/>
      <c r="J34" s="1394"/>
      <c r="K34" s="2697"/>
      <c r="L34" s="2698"/>
      <c r="M34" s="2698"/>
    </row>
    <row r="35" spans="1:18" ht="18" customHeight="1">
      <c r="A35" s="1099"/>
      <c r="B35" s="1097"/>
      <c r="C35" s="26"/>
      <c r="D35" s="326"/>
      <c r="E35" s="301" t="s">
        <v>736</v>
      </c>
      <c r="F35" s="302">
        <f ca="1">INDIRECT("'数据-取费表'!r"&amp;$G$1)</f>
        <v>1152.51</v>
      </c>
      <c r="G35" s="1379"/>
      <c r="H35" s="2692"/>
      <c r="I35" s="1393"/>
      <c r="J35" s="1394"/>
      <c r="K35" s="2696"/>
      <c r="L35" s="2695"/>
      <c r="M35" s="2695"/>
    </row>
    <row r="36" spans="1:18" ht="18" customHeight="1">
      <c r="A36" s="1098" t="s">
        <v>402</v>
      </c>
      <c r="B36" s="301" t="s">
        <v>738</v>
      </c>
      <c r="C36" s="21">
        <f ca="1">ROUND(C29*F36,2)</f>
        <v>23</v>
      </c>
      <c r="D36" s="3451" t="s">
        <v>771</v>
      </c>
      <c r="E36" s="301" t="s">
        <v>712</v>
      </c>
      <c r="F36" s="327">
        <f ca="1">INDIRECT("'数据-取费表'!Ak"&amp;$G$1)</f>
        <v>5.0000000000000001E-3</v>
      </c>
      <c r="G36" s="1379"/>
      <c r="H36" s="2695"/>
      <c r="I36" s="1393"/>
      <c r="J36" s="1394"/>
      <c r="K36" s="2539"/>
      <c r="L36" s="2695"/>
      <c r="M36" s="2695"/>
    </row>
    <row r="37" spans="1:18" ht="18" customHeight="1">
      <c r="A37" s="978" t="s">
        <v>437</v>
      </c>
      <c r="B37" s="301" t="s">
        <v>742</v>
      </c>
      <c r="C37" s="21">
        <f ca="1">ROUND(C13*F37,2)</f>
        <v>6.07</v>
      </c>
      <c r="D37" s="3451" t="s">
        <v>743</v>
      </c>
      <c r="E37" s="301" t="s">
        <v>744</v>
      </c>
      <c r="F37" s="329">
        <f ca="1">INDIRECT("'数据-取费表'!Al"&amp;$G$1)</f>
        <v>1.5E-3</v>
      </c>
      <c r="G37" s="1379"/>
      <c r="H37" s="2695"/>
      <c r="I37" s="1393"/>
      <c r="J37" s="1394"/>
      <c r="K37" s="2539"/>
      <c r="L37" s="2695"/>
      <c r="M37" s="2695"/>
    </row>
    <row r="38" spans="1:18" ht="18" customHeight="1" thickBot="1">
      <c r="A38" s="1085" t="s">
        <v>684</v>
      </c>
      <c r="B38" s="1086" t="s">
        <v>728</v>
      </c>
      <c r="C38" s="1087">
        <f ca="1">ROUND(C5*F38,2)</f>
        <v>0.34</v>
      </c>
      <c r="D38" s="1088" t="s">
        <v>748</v>
      </c>
      <c r="E38" s="1086" t="s">
        <v>744</v>
      </c>
      <c r="F38" s="1082">
        <f ca="1">INDIRECT("'数据-取费表'!Am"&amp;$G$1)</f>
        <v>5.0000000000000001E-3</v>
      </c>
      <c r="G38" s="1379"/>
      <c r="H38" s="2695"/>
      <c r="I38" s="1393"/>
      <c r="J38" s="1394"/>
      <c r="K38" s="2699"/>
      <c r="L38" s="2695"/>
      <c r="M38" s="2695"/>
    </row>
    <row r="39" spans="1:18" ht="24.6" customHeight="1" thickTop="1">
      <c r="A39" s="1075" t="s">
        <v>394</v>
      </c>
      <c r="B39" s="1090" t="s">
        <v>752</v>
      </c>
      <c r="C39" s="309">
        <f ca="1">C5-C30</f>
        <v>27</v>
      </c>
      <c r="D39" s="1091" t="s">
        <v>753</v>
      </c>
      <c r="E39" s="1092"/>
      <c r="F39" s="1093"/>
      <c r="G39" s="1379"/>
      <c r="H39" s="2695"/>
      <c r="I39" s="1393"/>
      <c r="J39" s="1394"/>
      <c r="K39" s="2699"/>
      <c r="L39" s="2695"/>
      <c r="M39" s="2695"/>
    </row>
    <row r="40" spans="1:18" ht="18" customHeight="1">
      <c r="A40" s="298" t="s">
        <v>395</v>
      </c>
      <c r="B40" s="299" t="s">
        <v>774</v>
      </c>
      <c r="C40" s="300">
        <f ca="1">ROUND(C39*(1-((1+F42)/(1+F40))^F41)/(F40-F42),0)</f>
        <v>510</v>
      </c>
      <c r="D40" s="323" t="s">
        <v>758</v>
      </c>
      <c r="E40" s="301" t="s">
        <v>759</v>
      </c>
      <c r="F40" s="311">
        <f ca="1">INDIRECT("'数据-取费表'!I"&amp;$G$1)</f>
        <v>5.5E-2</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32.04</v>
      </c>
      <c r="G41" s="1379"/>
      <c r="H41" s="1186"/>
      <c r="I41" s="1393"/>
      <c r="J41" s="1394"/>
      <c r="K41" s="2539"/>
      <c r="L41" s="1186"/>
      <c r="M41" s="1186"/>
    </row>
    <row r="42" spans="1:18" ht="18" customHeight="1">
      <c r="A42" s="307"/>
      <c r="B42" s="308"/>
      <c r="C42" s="309"/>
      <c r="D42" s="326"/>
      <c r="E42" s="301" t="s">
        <v>766</v>
      </c>
      <c r="F42" s="311">
        <f ca="1">INDIRECT("'数据-取费表'!v"&amp;$G$1)</f>
        <v>0.02</v>
      </c>
      <c r="G42" s="1379"/>
      <c r="H42" s="1186"/>
      <c r="I42" s="1393"/>
      <c r="J42" s="1394"/>
      <c r="K42" s="2539"/>
      <c r="L42" s="1186"/>
      <c r="M42" s="1186"/>
    </row>
    <row r="43" spans="1:18" ht="18" customHeight="1" thickBot="1">
      <c r="A43" s="333" t="s">
        <v>396</v>
      </c>
      <c r="B43" s="334" t="s">
        <v>776</v>
      </c>
      <c r="C43" s="335">
        <f ca="1">ROUND(C40*10000/F43,0)</f>
        <v>706</v>
      </c>
      <c r="D43" s="336" t="s">
        <v>777</v>
      </c>
      <c r="E43" s="337" t="s">
        <v>778</v>
      </c>
      <c r="F43" s="338">
        <f ca="1">INDIRECT("'数据-取费表'!k"&amp;$G$1)</f>
        <v>7219.03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4"/>
      <c r="O45" s="2700" t="s">
        <v>808</v>
      </c>
      <c r="P45" s="1456"/>
      <c r="Q45" s="1456"/>
      <c r="R45" s="1456"/>
    </row>
    <row r="46" spans="1:18" s="1379" customFormat="1" ht="13.5" thickBot="1">
      <c r="A46" s="1399" t="s">
        <v>809</v>
      </c>
      <c r="C46" s="1400">
        <f ca="1">C68-C40</f>
        <v>-942</v>
      </c>
      <c r="D46" s="1401" t="str">
        <f>C2</f>
        <v>万元</v>
      </c>
      <c r="E46" s="1395"/>
      <c r="F46" s="1395"/>
      <c r="I46" s="1402" t="s">
        <v>810</v>
      </c>
      <c r="J46" s="1403"/>
      <c r="K46" s="1404"/>
      <c r="L46" s="1405">
        <f ca="1">IF(M47="住宅",0,IF(L48&gt;J51,L60,J60))</f>
        <v>181</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0"/>
      <c r="I47" s="1409" t="s">
        <v>815</v>
      </c>
      <c r="J47" s="1410" t="s">
        <v>3432</v>
      </c>
      <c r="K47" s="1411" t="s">
        <v>816</v>
      </c>
      <c r="L47" s="1412">
        <f ca="1">INDIRECT("'数据-取费表'!d"&amp;$G$1)</f>
        <v>50</v>
      </c>
      <c r="M47" s="1375" t="str">
        <f>IF(ISNUMBER(FIND("住宅",C1)),"住宅","非住宅")</f>
        <v>非住宅</v>
      </c>
      <c r="O47" s="1413" t="s">
        <v>403</v>
      </c>
      <c r="P47" s="1414" t="s">
        <v>817</v>
      </c>
      <c r="Q47" s="1415">
        <f ca="1">C40+J29</f>
        <v>510</v>
      </c>
      <c r="R47" s="1415" t="s">
        <v>818</v>
      </c>
    </row>
    <row r="48" spans="1:18" s="1379" customFormat="1" ht="28.5" thickBot="1">
      <c r="A48" s="1106" t="s">
        <v>438</v>
      </c>
      <c r="B48" s="299" t="s">
        <v>692</v>
      </c>
      <c r="C48" s="3453">
        <f ca="1">C49+C53+C55</f>
        <v>0</v>
      </c>
      <c r="D48" s="1108"/>
      <c r="E48" s="1109"/>
      <c r="F48" s="958"/>
      <c r="G48" s="720"/>
      <c r="H48" s="721"/>
      <c r="I48" s="1416" t="s">
        <v>819</v>
      </c>
      <c r="J48" s="1417" t="s">
        <v>3433</v>
      </c>
      <c r="K48" s="1418" t="s">
        <v>820</v>
      </c>
      <c r="L48" s="1419">
        <f ca="1">INDIRECT("'数据-取费表'!f"&amp;$G$1)</f>
        <v>32.04</v>
      </c>
      <c r="O48" s="1413" t="s">
        <v>404</v>
      </c>
      <c r="P48" s="1414" t="s">
        <v>821</v>
      </c>
      <c r="Q48" s="1415">
        <f ca="1">J60</f>
        <v>181</v>
      </c>
      <c r="R48" s="1415" t="s">
        <v>822</v>
      </c>
    </row>
    <row r="49" spans="1:18" s="1379" customFormat="1" ht="13.5" thickBot="1">
      <c r="A49" s="971" t="s">
        <v>439</v>
      </c>
      <c r="B49" s="1366" t="s">
        <v>779</v>
      </c>
      <c r="C49" s="1110">
        <f ca="1">ROUND(F49*F51*F50*(1-F52)/10000,0)</f>
        <v>0</v>
      </c>
      <c r="D49" s="1051" t="s">
        <v>2105</v>
      </c>
      <c r="E49" s="1367" t="s">
        <v>780</v>
      </c>
      <c r="F49" s="1056"/>
      <c r="G49" s="1420"/>
      <c r="H49" s="721"/>
      <c r="I49" s="1416" t="s">
        <v>823</v>
      </c>
      <c r="J49" s="1421">
        <v>2017</v>
      </c>
      <c r="K49" s="1418" t="s">
        <v>824</v>
      </c>
      <c r="L49" s="1422"/>
      <c r="O49" s="1423" t="s">
        <v>405</v>
      </c>
      <c r="P49" s="1414" t="s">
        <v>825</v>
      </c>
      <c r="Q49" s="1415">
        <f ca="1">C29</f>
        <v>4599</v>
      </c>
      <c r="R49" s="1415" t="s">
        <v>818</v>
      </c>
    </row>
    <row r="50" spans="1:18" s="1379" customFormat="1" ht="13.5" thickBot="1">
      <c r="A50" s="972"/>
      <c r="B50" s="975"/>
      <c r="C50" s="1114"/>
      <c r="D50" s="949"/>
      <c r="E50" s="1052" t="s">
        <v>697</v>
      </c>
      <c r="F50" s="1053">
        <f ca="1">F7</f>
        <v>126</v>
      </c>
      <c r="H50" s="721"/>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2">
        <f ca="1">F8</f>
        <v>12</v>
      </c>
      <c r="I51" s="1427" t="s">
        <v>829</v>
      </c>
      <c r="J51" s="1428">
        <f>IF(J49="",J50,J49+J50-YEAR('数据-取费表'!B2))</f>
        <v>53</v>
      </c>
      <c r="K51" s="1429" t="s">
        <v>830</v>
      </c>
      <c r="L51" s="1430">
        <f ca="1">ROUND(-PV(INDIRECT("'数据-取费表'!h"&amp;$G$1),J51,(C39-C13*C76),0),0)</f>
        <v>-4740</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1433">
        <v>7.4999999999999997E-2</v>
      </c>
      <c r="K52" s="1432" t="s">
        <v>833</v>
      </c>
      <c r="L52" s="1433"/>
      <c r="O52" s="1423" t="s">
        <v>408</v>
      </c>
      <c r="P52" s="1414" t="s">
        <v>834</v>
      </c>
      <c r="Q52" s="1415">
        <f ca="1">J53</f>
        <v>32.04</v>
      </c>
      <c r="R52" s="1415" t="s">
        <v>835</v>
      </c>
    </row>
    <row r="53" spans="1:18" s="1379" customFormat="1" ht="24.75" thickBot="1">
      <c r="A53" s="1148" t="s">
        <v>440</v>
      </c>
      <c r="B53" s="1368" t="s">
        <v>700</v>
      </c>
      <c r="C53" s="315">
        <f ca="1">ROUND(IF(F53="押一",C49/12*F11,IF(F53="押二",C49/12*2*F11,IF(F53="押三",C49/12*3*F11,C54*F11))),0)</f>
        <v>0</v>
      </c>
      <c r="D53" s="1361" t="s">
        <v>2113</v>
      </c>
      <c r="E53" s="312" t="s">
        <v>701</v>
      </c>
      <c r="F53" s="1112"/>
      <c r="I53" s="1434" t="s">
        <v>836</v>
      </c>
      <c r="J53" s="2163">
        <f ca="1">IF(M47="住宅",IF(D1="——",MAX(J51,L48),MAX(J51,L48-'数据-取费表'!B24)),IF(D1="——",MIN(J51,L48),MIN(J51,L48-'数据-取费表'!B24)))</f>
        <v>32.04</v>
      </c>
      <c r="K53" s="3678" t="s">
        <v>837</v>
      </c>
      <c r="L53" s="3679"/>
      <c r="O53" s="1413" t="s">
        <v>409</v>
      </c>
      <c r="P53" s="1414" t="s">
        <v>838</v>
      </c>
      <c r="Q53" s="1415">
        <f ca="1">Q47+Q48</f>
        <v>691</v>
      </c>
      <c r="R53" s="1415" t="s">
        <v>410</v>
      </c>
    </row>
    <row r="54" spans="1:18" s="1379" customFormat="1" ht="13.5" thickBot="1">
      <c r="A54" s="1149"/>
      <c r="B54" s="1362" t="s">
        <v>679</v>
      </c>
      <c r="C54" s="955"/>
      <c r="D54" s="1361"/>
      <c r="E54" s="3448"/>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48"/>
      <c r="F55" s="1435"/>
      <c r="I55" s="1438" t="s">
        <v>840</v>
      </c>
      <c r="J55" s="1439">
        <f ca="1">ROUND(IF(J47="钢混",J57/J50,1-(1-2%)*(J50-J57)/J50),3)</f>
        <v>0.34899999999999998</v>
      </c>
      <c r="K55" s="1440" t="s">
        <v>841</v>
      </c>
      <c r="L55" s="1441"/>
      <c r="O55" s="1406" t="s">
        <v>811</v>
      </c>
      <c r="P55" s="1407" t="s">
        <v>812</v>
      </c>
      <c r="Q55" s="1408" t="s">
        <v>813</v>
      </c>
      <c r="R55" s="1408" t="s">
        <v>814</v>
      </c>
    </row>
    <row r="56" spans="1:18" s="1379" customFormat="1" ht="25.5" thickTop="1" thickBot="1">
      <c r="A56" s="953">
        <v>2</v>
      </c>
      <c r="B56" s="954" t="s">
        <v>704</v>
      </c>
      <c r="C56" s="231">
        <f ca="1">C13</f>
        <v>4047</v>
      </c>
      <c r="D56" s="1442"/>
      <c r="E56" s="1443"/>
      <c r="F56" s="1435"/>
      <c r="I56" s="1444" t="s">
        <v>842</v>
      </c>
      <c r="J56" s="1445" t="s">
        <v>3401</v>
      </c>
      <c r="K56" s="1416" t="s">
        <v>843</v>
      </c>
      <c r="L56" s="1419" t="str">
        <f ca="1">IF(L48&lt;J51,"——",L48-J53)</f>
        <v>——</v>
      </c>
      <c r="O56" s="1413" t="s">
        <v>403</v>
      </c>
      <c r="P56" s="1414" t="s">
        <v>817</v>
      </c>
      <c r="Q56" s="1415">
        <f ca="1">C40+J29</f>
        <v>510</v>
      </c>
      <c r="R56" s="1415" t="s">
        <v>818</v>
      </c>
    </row>
    <row r="57" spans="1:18" s="1379" customFormat="1" ht="24.75" thickBot="1">
      <c r="A57" s="1446"/>
      <c r="B57" s="946" t="s">
        <v>767</v>
      </c>
      <c r="C57" s="237">
        <f ca="1">C29</f>
        <v>4599</v>
      </c>
      <c r="D57" s="1447"/>
      <c r="E57" s="1448"/>
      <c r="F57" s="1449"/>
      <c r="I57" s="1450" t="s">
        <v>844</v>
      </c>
      <c r="J57" s="1451">
        <f ca="1">IF(OR(M47="住宅",J51&lt;L48,J56="是"),"——",J51-L48)</f>
        <v>20.96</v>
      </c>
      <c r="K57" s="1416" t="s">
        <v>845</v>
      </c>
      <c r="L57" s="1419" t="str">
        <f ca="1">IF(L48&lt;J51,"——",IF(L55="比较法",L49,IF(L55="基准地价",L50,L51)))</f>
        <v>——</v>
      </c>
      <c r="O57" s="1413" t="s">
        <v>404</v>
      </c>
      <c r="P57" s="1414" t="s">
        <v>846</v>
      </c>
      <c r="Q57" s="1415">
        <f ca="1">L60</f>
        <v>0</v>
      </c>
      <c r="R57" s="1415" t="s">
        <v>847</v>
      </c>
    </row>
    <row r="58" spans="1:18" s="1379" customFormat="1" ht="24.75" thickBot="1">
      <c r="A58" s="314" t="s">
        <v>393</v>
      </c>
      <c r="B58" s="954" t="s">
        <v>714</v>
      </c>
      <c r="C58" s="315">
        <f ca="1">ROUND(C59+C64+C65+C66,0)</f>
        <v>29</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1840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0">
        <f t="shared" ref="F60:F66" si="0">F32</f>
        <v>5.6000000000000001E-2</v>
      </c>
      <c r="I60" s="1453" t="s">
        <v>853</v>
      </c>
      <c r="J60" s="1454">
        <f ca="1">IF(OR(M47="住宅",J51&lt;L48,J56="是"),"0",ROUND(J59/(1+J52)^J53,0))</f>
        <v>181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727</v>
      </c>
      <c r="C61" s="21">
        <f ca="1">IF(项目基本情况!B11="自然人","——",IF(D61="按租金收入计税",ROUND(C49*F61/(1+'数据-取费表'!C42),2),IF(D61="按房产原值计税",ROUND(C57*F61*0.7,2),INDIRECT("'数据-取费表'!Aj"&amp;$G$1))))</f>
        <v>0</v>
      </c>
      <c r="D61" s="1365" t="s">
        <v>3337</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730</v>
      </c>
      <c r="C62" s="22">
        <f ca="1">IF(项目基本情况!B11="自然人","——",ROUND(F62*F63/10000,2))</f>
        <v>0.17</v>
      </c>
      <c r="D62" s="961" t="s">
        <v>731</v>
      </c>
      <c r="E62" s="946" t="s">
        <v>732</v>
      </c>
      <c r="F62" s="324">
        <f t="shared" si="0"/>
        <v>1.5</v>
      </c>
      <c r="I62" s="1457" t="s">
        <v>858</v>
      </c>
      <c r="J62" s="1458" t="s">
        <v>859</v>
      </c>
      <c r="K62" s="1458" t="s">
        <v>860</v>
      </c>
      <c r="L62" s="1458" t="s">
        <v>861</v>
      </c>
      <c r="M62" s="1459" t="s">
        <v>862</v>
      </c>
      <c r="O62" s="1413" t="s">
        <v>409</v>
      </c>
      <c r="P62" s="1414" t="s">
        <v>838</v>
      </c>
      <c r="Q62" s="1415">
        <f ca="1">Q56+Q57</f>
        <v>510</v>
      </c>
      <c r="R62" s="1415" t="s">
        <v>410</v>
      </c>
    </row>
    <row r="63" spans="1:18" s="1379" customFormat="1" ht="13.5" thickBot="1">
      <c r="A63" s="325"/>
      <c r="B63" s="952"/>
      <c r="C63" s="26"/>
      <c r="D63" s="962"/>
      <c r="E63" s="946" t="s">
        <v>736</v>
      </c>
      <c r="F63" s="302">
        <f t="shared" ca="1" si="0"/>
        <v>1152.51</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23</v>
      </c>
      <c r="D64" s="960" t="s">
        <v>791</v>
      </c>
      <c r="E64" s="946" t="s">
        <v>783</v>
      </c>
      <c r="F64" s="327">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6.07</v>
      </c>
      <c r="D65" s="960" t="s">
        <v>743</v>
      </c>
      <c r="E65" s="946" t="s">
        <v>744</v>
      </c>
      <c r="F65" s="329">
        <f t="shared" ca="1" si="0"/>
        <v>1.5E-3</v>
      </c>
      <c r="I65" s="1457" t="s">
        <v>867</v>
      </c>
      <c r="J65" s="1458">
        <v>40</v>
      </c>
      <c r="K65" s="1458">
        <v>30</v>
      </c>
      <c r="L65" s="1458">
        <v>50</v>
      </c>
      <c r="M65" s="1460">
        <v>0.02</v>
      </c>
      <c r="O65" s="1413" t="s">
        <v>403</v>
      </c>
      <c r="P65" s="1414" t="s">
        <v>817</v>
      </c>
      <c r="Q65" s="1415">
        <f ca="1">C40+J29</f>
        <v>510</v>
      </c>
      <c r="R65" s="1415" t="s">
        <v>818</v>
      </c>
    </row>
    <row r="66" spans="1:18" s="1379" customFormat="1" ht="16.5" thickBot="1">
      <c r="A66" s="978" t="s">
        <v>793</v>
      </c>
      <c r="B66" s="946" t="s">
        <v>728</v>
      </c>
      <c r="C66" s="21">
        <f ca="1">ROUND(C48*F66,2)</f>
        <v>0</v>
      </c>
      <c r="D66" s="960" t="s">
        <v>794</v>
      </c>
      <c r="E66" s="946" t="s">
        <v>712</v>
      </c>
      <c r="F66" s="311">
        <f t="shared" ca="1" si="0"/>
        <v>5.0000000000000001E-3</v>
      </c>
      <c r="O66" s="1413" t="s">
        <v>404</v>
      </c>
      <c r="P66" s="1414" t="s">
        <v>846</v>
      </c>
      <c r="Q66" s="1415">
        <f ca="1">L60</f>
        <v>0</v>
      </c>
      <c r="R66" s="1415" t="s">
        <v>869</v>
      </c>
    </row>
    <row r="67" spans="1:18" s="1379" customFormat="1" ht="16.5" thickBot="1">
      <c r="A67" s="953" t="s">
        <v>394</v>
      </c>
      <c r="B67" s="963" t="s">
        <v>752</v>
      </c>
      <c r="C67" s="315">
        <f ca="1">C48-C58</f>
        <v>-29</v>
      </c>
      <c r="D67" s="959" t="s">
        <v>753</v>
      </c>
      <c r="E67" s="964"/>
      <c r="F67" s="965"/>
      <c r="O67" s="1423" t="s">
        <v>405</v>
      </c>
      <c r="P67" s="1414" t="s">
        <v>850</v>
      </c>
      <c r="Q67" s="1461">
        <f ca="1">L51</f>
        <v>-4740</v>
      </c>
      <c r="R67" s="1415" t="s">
        <v>870</v>
      </c>
    </row>
    <row r="68" spans="1:18" s="1379" customFormat="1" ht="16.5" thickBot="1">
      <c r="A68" s="943" t="s">
        <v>395</v>
      </c>
      <c r="B68" s="944" t="s">
        <v>774</v>
      </c>
      <c r="C68" s="300">
        <f ca="1">ROUND(C67*(1-((1+F70)/(1+F68))^F69)/(F68-F70),0)</f>
        <v>-432</v>
      </c>
      <c r="D68" s="961" t="s">
        <v>758</v>
      </c>
      <c r="E68" s="946" t="s">
        <v>759</v>
      </c>
      <c r="F68" s="311">
        <f ca="1">F40</f>
        <v>5.5E-2</v>
      </c>
      <c r="O68" s="1423" t="s">
        <v>406</v>
      </c>
      <c r="P68" s="1462" t="s">
        <v>871</v>
      </c>
      <c r="Q68" s="1415">
        <f ca="1">ROUND(Q69-Q70*Q71,0)</f>
        <v>-256</v>
      </c>
      <c r="R68" s="1415" t="s">
        <v>414</v>
      </c>
    </row>
    <row r="69" spans="1:18" s="1379" customFormat="1" ht="13.5" thickBot="1">
      <c r="A69" s="947"/>
      <c r="B69" s="948"/>
      <c r="C69" s="305"/>
      <c r="D69" s="966" t="s">
        <v>762</v>
      </c>
      <c r="E69" s="946" t="s">
        <v>763</v>
      </c>
      <c r="F69" s="332">
        <f ca="1">F41</f>
        <v>32.04</v>
      </c>
      <c r="O69" s="1423" t="s">
        <v>411</v>
      </c>
      <c r="P69" s="1462" t="s">
        <v>872</v>
      </c>
      <c r="Q69" s="1415">
        <f ca="1">C39</f>
        <v>27</v>
      </c>
      <c r="R69" s="1415" t="s">
        <v>818</v>
      </c>
    </row>
    <row r="70" spans="1:18" s="1379" customFormat="1" ht="13.5" thickBot="1">
      <c r="A70" s="950"/>
      <c r="B70" s="951"/>
      <c r="C70" s="309"/>
      <c r="D70" s="962"/>
      <c r="E70" s="946" t="s">
        <v>766</v>
      </c>
      <c r="F70" s="1050"/>
      <c r="O70" s="1423" t="s">
        <v>412</v>
      </c>
      <c r="P70" s="1462" t="s">
        <v>873</v>
      </c>
      <c r="Q70" s="1415">
        <f ca="1">C13</f>
        <v>4047</v>
      </c>
      <c r="R70" s="1415" t="s">
        <v>818</v>
      </c>
    </row>
    <row r="71" spans="1:18" s="1379" customFormat="1" ht="13.5" thickBot="1">
      <c r="A71" s="967" t="s">
        <v>396</v>
      </c>
      <c r="B71" s="968" t="s">
        <v>776</v>
      </c>
      <c r="C71" s="335">
        <f ca="1">ROUND(C68*10000/F71,0)</f>
        <v>-598</v>
      </c>
      <c r="D71" s="969" t="s">
        <v>777</v>
      </c>
      <c r="E71" s="970" t="s">
        <v>778</v>
      </c>
      <c r="F71" s="338">
        <f ca="1">F43</f>
        <v>7219.03</v>
      </c>
      <c r="O71" s="1423" t="s">
        <v>413</v>
      </c>
      <c r="P71" s="1462" t="s">
        <v>874</v>
      </c>
      <c r="Q71" s="1426">
        <f ca="1">C76</f>
        <v>7.0000000000000007E-2</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283</v>
      </c>
      <c r="D75" s="1379"/>
      <c r="E75" s="1379"/>
      <c r="F75" s="1379"/>
      <c r="K75" s="1397"/>
      <c r="L75" s="1379"/>
      <c r="O75" s="1413" t="s">
        <v>409</v>
      </c>
      <c r="P75" s="1414" t="s">
        <v>838</v>
      </c>
      <c r="Q75" s="1415">
        <f ca="1">Q65+Q66</f>
        <v>510</v>
      </c>
      <c r="R75" s="1415" t="s">
        <v>410</v>
      </c>
    </row>
    <row r="76" spans="1:18">
      <c r="B76" s="341" t="s">
        <v>796</v>
      </c>
      <c r="C76" s="342">
        <f ca="1">INDIRECT("'数据-取费表'!j"&amp;$G$1)</f>
        <v>7.0000000000000007E-2</v>
      </c>
      <c r="I76" s="1379"/>
      <c r="J76" s="1379"/>
      <c r="K76" s="1397"/>
      <c r="L76" s="1379"/>
    </row>
    <row r="77" spans="1:18">
      <c r="B77" s="343" t="s">
        <v>797</v>
      </c>
      <c r="C77" s="344"/>
      <c r="I77" s="1379"/>
      <c r="J77" s="1379"/>
      <c r="K77" s="1397"/>
      <c r="L77" s="1379"/>
    </row>
    <row r="78" spans="1:18">
      <c r="B78" s="269" t="s">
        <v>798</v>
      </c>
      <c r="C78" s="345"/>
    </row>
    <row r="79" spans="1:18">
      <c r="B79" s="339" t="s">
        <v>799</v>
      </c>
      <c r="C79" s="273">
        <f ca="1">1-C80</f>
        <v>-9.4809999999999999</v>
      </c>
    </row>
    <row r="80" spans="1:18">
      <c r="B80" s="339" t="s">
        <v>800</v>
      </c>
      <c r="C80" s="273">
        <f ca="1">ROUND(C75/C39,3)</f>
        <v>10.481</v>
      </c>
    </row>
    <row r="81" spans="2:3">
      <c r="B81" s="269" t="s">
        <v>801</v>
      </c>
      <c r="C81" s="237"/>
    </row>
    <row r="82" spans="2:3">
      <c r="B82" s="272" t="s">
        <v>802</v>
      </c>
      <c r="C82" s="274">
        <f ca="1">1-C83</f>
        <v>-6.9349999999999996</v>
      </c>
    </row>
    <row r="83" spans="2:3">
      <c r="B83" s="272" t="s">
        <v>803</v>
      </c>
      <c r="C83" s="273">
        <f ca="1">ROUND(C13/C40,3)</f>
        <v>7.9349999999999996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3" customWidth="1"/>
    <col min="12" max="12" width="16.375" style="257" customWidth="1"/>
    <col min="13" max="13" width="13" style="257"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7"/>
  </cols>
  <sheetData>
    <row r="1" spans="1:37" s="292" customFormat="1" ht="21">
      <c r="A1" s="1370" t="s">
        <v>877</v>
      </c>
      <c r="B1" s="711"/>
      <c r="C1" s="1374"/>
      <c r="D1" s="1357" t="s">
        <v>43</v>
      </c>
      <c r="E1" s="1358" t="s">
        <v>678</v>
      </c>
      <c r="F1" s="1058">
        <f ca="1">J53</f>
        <v>0</v>
      </c>
      <c r="G1" s="1373">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0" t="s">
        <v>878</v>
      </c>
      <c r="B2" s="3420" t="e">
        <f ca="1">ROUND(D2/10000,4)</f>
        <v>#DIV/0!</v>
      </c>
      <c r="C2" s="1382" t="s">
        <v>879</v>
      </c>
      <c r="D2" s="1466" t="e">
        <f ca="1">C40+J29+L46</f>
        <v>#DIV/0!</v>
      </c>
      <c r="E2" s="1383" t="s">
        <v>880</v>
      </c>
      <c r="F2" s="1384"/>
      <c r="G2" s="2701"/>
      <c r="H2" s="2690"/>
      <c r="I2" s="2690"/>
      <c r="J2" s="2690"/>
      <c r="K2" s="2691"/>
      <c r="L2" s="2690"/>
      <c r="M2" s="2690"/>
    </row>
    <row r="3" spans="1:37" ht="18" customHeight="1" thickBot="1">
      <c r="A3" s="1385" t="s">
        <v>881</v>
      </c>
      <c r="B3" s="1386">
        <f ca="1">IF(ISERROR(D2/F43),0,ROUND(D2/F43,0))</f>
        <v>0</v>
      </c>
      <c r="C3" s="1382" t="s">
        <v>882</v>
      </c>
      <c r="D3" s="1382"/>
      <c r="E3" s="1383"/>
      <c r="F3" s="1384"/>
      <c r="G3" s="2701"/>
      <c r="H3" s="681" t="s">
        <v>876</v>
      </c>
      <c r="I3" s="1377"/>
      <c r="J3" s="1377"/>
      <c r="K3" s="1378"/>
      <c r="L3" s="1377"/>
      <c r="M3" s="1377"/>
    </row>
    <row r="4" spans="1:37" ht="18" customHeight="1">
      <c r="A4" s="294" t="s">
        <v>883</v>
      </c>
      <c r="B4" s="295" t="s">
        <v>884</v>
      </c>
      <c r="C4" s="295" t="s">
        <v>885</v>
      </c>
      <c r="D4" s="295" t="s">
        <v>886</v>
      </c>
      <c r="E4" s="296" t="s">
        <v>887</v>
      </c>
      <c r="F4" s="297"/>
      <c r="G4" s="1379"/>
      <c r="H4" s="294" t="s">
        <v>883</v>
      </c>
      <c r="I4" s="295" t="s">
        <v>884</v>
      </c>
      <c r="J4" s="295" t="s">
        <v>885</v>
      </c>
      <c r="K4" s="295" t="s">
        <v>886</v>
      </c>
      <c r="L4" s="296" t="s">
        <v>887</v>
      </c>
      <c r="M4" s="297"/>
    </row>
    <row r="5" spans="1:37" ht="18" customHeight="1">
      <c r="A5" s="298">
        <v>1</v>
      </c>
      <c r="B5" s="299" t="s">
        <v>888</v>
      </c>
      <c r="C5" s="1066">
        <f ca="1">C6+C10+C12</f>
        <v>0</v>
      </c>
      <c r="D5" s="1359" t="s">
        <v>889</v>
      </c>
      <c r="E5" s="1067"/>
      <c r="F5" s="1068"/>
      <c r="G5" s="1379"/>
      <c r="H5" s="298">
        <v>1</v>
      </c>
      <c r="I5" s="299" t="s">
        <v>888</v>
      </c>
      <c r="J5" s="1066">
        <f ca="1">J6+J10+J12</f>
        <v>0</v>
      </c>
      <c r="K5" s="1359" t="s">
        <v>889</v>
      </c>
      <c r="L5" s="1067"/>
      <c r="M5" s="1068"/>
    </row>
    <row r="6" spans="1:37" ht="18" customHeight="1">
      <c r="A6" s="1065" t="s">
        <v>398</v>
      </c>
      <c r="B6" s="3680" t="s">
        <v>694</v>
      </c>
      <c r="C6" s="1070">
        <f ca="1">ROUND(F6*F8*F7*(1-F9),0)</f>
        <v>0</v>
      </c>
      <c r="D6" s="154" t="s">
        <v>2103</v>
      </c>
      <c r="E6" s="301" t="s">
        <v>696</v>
      </c>
      <c r="F6" s="302">
        <f ca="1">INDIRECT("'数据-取费表'!u"&amp;$G$1)</f>
        <v>0</v>
      </c>
      <c r="G6" s="1379"/>
      <c r="H6" s="1065" t="s">
        <v>398</v>
      </c>
      <c r="I6" s="3680" t="s">
        <v>694</v>
      </c>
      <c r="J6" s="300">
        <f ca="1">ROUND(M6*M8*M7*(1-M9),0)</f>
        <v>0</v>
      </c>
      <c r="K6" s="1371" t="s">
        <v>2104</v>
      </c>
      <c r="L6" s="301" t="s">
        <v>696</v>
      </c>
      <c r="M6" s="302">
        <f ca="1">INDIRECT("'数据-取费表'!z"&amp;$G$1)</f>
        <v>0</v>
      </c>
    </row>
    <row r="7" spans="1:37" ht="18" customHeight="1">
      <c r="A7" s="1069"/>
      <c r="B7" s="3681"/>
      <c r="C7" s="1071"/>
      <c r="D7" s="306"/>
      <c r="E7" s="1072" t="s">
        <v>697</v>
      </c>
      <c r="F7" s="302">
        <f ca="1">IF(INDIRECT("'数据-取费表'!ah"&amp;$G$1)="",INDIRECT("'数据-取费表'!k"&amp;$G$1),INDIRECT("'数据-取费表'!ah"&amp;$G$1))</f>
        <v>0</v>
      </c>
      <c r="G7" s="1379"/>
      <c r="H7" s="303"/>
      <c r="I7" s="3681"/>
      <c r="J7" s="305"/>
      <c r="K7" s="306"/>
      <c r="L7" s="301" t="s">
        <v>697</v>
      </c>
      <c r="M7" s="302">
        <f ca="1">F7</f>
        <v>0</v>
      </c>
    </row>
    <row r="8" spans="1:37" ht="18" customHeight="1">
      <c r="A8" s="303"/>
      <c r="B8" s="3681"/>
      <c r="C8" s="305"/>
      <c r="D8" s="306"/>
      <c r="E8" s="301" t="s">
        <v>698</v>
      </c>
      <c r="F8" s="302">
        <f ca="1">INDIRECT("'数据-取费表'!ai"&amp;$G$1)</f>
        <v>0</v>
      </c>
      <c r="G8" s="1379"/>
      <c r="H8" s="303"/>
      <c r="I8" s="3681"/>
      <c r="J8" s="305"/>
      <c r="K8" s="306"/>
      <c r="L8" s="301" t="s">
        <v>698</v>
      </c>
      <c r="M8" s="302">
        <f ca="1">INDIRECT("'数据-取费表'!ai"&amp;$G$1)</f>
        <v>0</v>
      </c>
    </row>
    <row r="9" spans="1:37" ht="18" customHeight="1">
      <c r="A9" s="303"/>
      <c r="B9" s="3682"/>
      <c r="C9" s="305"/>
      <c r="D9" s="306"/>
      <c r="E9" s="301" t="s">
        <v>699</v>
      </c>
      <c r="F9" s="311">
        <f ca="1">INDIRECT("'数据-取费表'!w"&amp;$G$1)</f>
        <v>0</v>
      </c>
      <c r="G9" s="1379"/>
      <c r="H9" s="303"/>
      <c r="I9" s="3682"/>
      <c r="J9" s="305"/>
      <c r="K9" s="306"/>
      <c r="L9" s="312" t="s">
        <v>699</v>
      </c>
      <c r="M9" s="313">
        <f ca="1">INDIRECT("'数据-取费表'!ab"&amp;$G$1)</f>
        <v>0</v>
      </c>
    </row>
    <row r="10" spans="1:37" ht="18" customHeight="1">
      <c r="A10" s="1065" t="s">
        <v>402</v>
      </c>
      <c r="B10" s="1360" t="s">
        <v>700</v>
      </c>
      <c r="C10" s="315">
        <f ca="1">ROUND(IF(F10="押一",C6/12*F11,IF(F10="押二",C6/12*2*F11,IF(F10="押三",C6/12*3*F11,C11*F11))),0)</f>
        <v>0</v>
      </c>
      <c r="D10" s="1361" t="s">
        <v>2113</v>
      </c>
      <c r="E10" s="312" t="s">
        <v>701</v>
      </c>
      <c r="F10" s="1112"/>
      <c r="G10" s="1379"/>
      <c r="H10" s="1065" t="s">
        <v>402</v>
      </c>
      <c r="I10" s="1360" t="s">
        <v>700</v>
      </c>
      <c r="J10" s="300">
        <f ca="1">ROUND(IF(M10="押一",J6/12*M11,IF(M10="押二",J6/12*2*M11,IF(M10="押三",J6/12*3*M11,J11*M11))),0)</f>
        <v>0</v>
      </c>
      <c r="K10" s="1372" t="s">
        <v>2115</v>
      </c>
      <c r="L10" s="312" t="s">
        <v>701</v>
      </c>
      <c r="M10" s="1112"/>
    </row>
    <row r="11" spans="1:37" ht="18" customHeight="1">
      <c r="A11" s="307"/>
      <c r="B11" s="1362" t="s">
        <v>890</v>
      </c>
      <c r="C11" s="955"/>
      <c r="D11" s="306"/>
      <c r="E11" s="312" t="s">
        <v>702</v>
      </c>
      <c r="F11" s="313">
        <f ca="1">'数据-取费表'!B39</f>
        <v>1.4999999999999999E-2</v>
      </c>
      <c r="G11" s="1379"/>
      <c r="H11" s="1073"/>
      <c r="I11" s="1362" t="s">
        <v>891</v>
      </c>
      <c r="J11" s="955"/>
      <c r="K11" s="682"/>
      <c r="L11" s="312" t="s">
        <v>702</v>
      </c>
      <c r="M11" s="860">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1" t="s">
        <v>707</v>
      </c>
      <c r="C14" s="317">
        <f ca="1">ROUND(INDIRECT("'数据-取费表'!l"&amp;$G$1)*F43+'数据-取费表'!L14*INDIRECT("'数据-取费表'!S"&amp;$G$1),0)</f>
        <v>0</v>
      </c>
      <c r="D14" s="1340" t="s">
        <v>708</v>
      </c>
      <c r="E14" s="1337"/>
      <c r="F14" s="318"/>
      <c r="G14" s="1379"/>
      <c r="H14" s="978" t="s">
        <v>398</v>
      </c>
      <c r="I14" s="301" t="s">
        <v>709</v>
      </c>
      <c r="J14" s="21">
        <f ca="1">C29</f>
        <v>0</v>
      </c>
      <c r="K14" s="12"/>
      <c r="L14" s="805"/>
      <c r="M14" s="806"/>
    </row>
    <row r="15" spans="1:37" s="1392" customFormat="1" ht="18" customHeight="1" thickBot="1">
      <c r="A15" s="978" t="s">
        <v>399</v>
      </c>
      <c r="B15" s="301" t="s">
        <v>710</v>
      </c>
      <c r="C15" s="21">
        <f ca="1">ROUND(C14*F15,0)</f>
        <v>0</v>
      </c>
      <c r="D15" s="319" t="s">
        <v>711</v>
      </c>
      <c r="E15" s="319" t="s">
        <v>712</v>
      </c>
      <c r="F15" s="320">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79"/>
      <c r="H16" s="1075" t="s">
        <v>393</v>
      </c>
      <c r="I16" s="1076" t="s">
        <v>714</v>
      </c>
      <c r="J16" s="309">
        <f ca="1">ROUND(J17+J22+J23+J24,0)</f>
        <v>0</v>
      </c>
      <c r="K16" s="1083" t="s">
        <v>715</v>
      </c>
      <c r="L16" s="1084"/>
      <c r="M16" s="1068"/>
    </row>
    <row r="17" spans="1:37" s="1392" customFormat="1" ht="18" customHeight="1">
      <c r="A17" s="978" t="s">
        <v>681</v>
      </c>
      <c r="B17" s="301" t="s">
        <v>716</v>
      </c>
      <c r="C17" s="21">
        <f ca="1">ROUND(F17*(F43+INDIRECT("'数据-取费表'!S"&amp;$G$1)),0)</f>
        <v>0</v>
      </c>
      <c r="D17" s="301" t="s">
        <v>717</v>
      </c>
      <c r="E17" s="301" t="s">
        <v>718</v>
      </c>
      <c r="F17" s="23">
        <f>'数据-取费表'!B35</f>
        <v>200</v>
      </c>
      <c r="G17" s="1391"/>
      <c r="H17" s="978" t="s">
        <v>398</v>
      </c>
      <c r="I17" s="301"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1" t="s">
        <v>722</v>
      </c>
      <c r="C18" s="21">
        <f ca="1">ROUND(C14*F18,0)</f>
        <v>0</v>
      </c>
      <c r="D18" s="301" t="s">
        <v>711</v>
      </c>
      <c r="E18" s="301" t="s">
        <v>712</v>
      </c>
      <c r="F18" s="321">
        <f>'数据-取费表'!B36</f>
        <v>0.02</v>
      </c>
      <c r="G18" s="1391"/>
      <c r="H18" s="978" t="s">
        <v>397</v>
      </c>
      <c r="I18" s="301" t="s">
        <v>723</v>
      </c>
      <c r="J18" s="21">
        <f ca="1">ROUND(J6*M18/(1+'数据-取费表'!C42),0)</f>
        <v>0</v>
      </c>
      <c r="K18" s="1339" t="s">
        <v>724</v>
      </c>
      <c r="L18" s="301" t="s">
        <v>712</v>
      </c>
      <c r="M18" s="321">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1" t="s">
        <v>725</v>
      </c>
      <c r="C19" s="21">
        <f ca="1">SUM(C14:C18)</f>
        <v>0</v>
      </c>
      <c r="D19" s="130" t="s">
        <v>726</v>
      </c>
      <c r="E19" s="1355"/>
      <c r="F19" s="23"/>
      <c r="G19" s="1379"/>
      <c r="H19" s="978" t="s">
        <v>399</v>
      </c>
      <c r="I19" s="301" t="s">
        <v>727</v>
      </c>
      <c r="J19" s="21">
        <f ca="1">IF(K19="按租金收入计税",ROUND(J6*M19/(1+'数据-取费表'!C42),0),ROUND(C29*M19*0.7,0))</f>
        <v>0</v>
      </c>
      <c r="K19" s="1365" t="s">
        <v>3337</v>
      </c>
      <c r="L19" s="301" t="s">
        <v>712</v>
      </c>
      <c r="M19" s="321">
        <f>IF(K19="按租金收入计税",'数据-取费表'!B51,'数据-取费表'!B50)</f>
        <v>0.12</v>
      </c>
    </row>
    <row r="20" spans="1:37" s="1392" customFormat="1" ht="18" customHeight="1">
      <c r="A20" s="978" t="s">
        <v>402</v>
      </c>
      <c r="B20" s="301" t="s">
        <v>728</v>
      </c>
      <c r="C20" s="21">
        <f ca="1">ROUND(C19*F20,0)</f>
        <v>0</v>
      </c>
      <c r="D20" s="322" t="s">
        <v>729</v>
      </c>
      <c r="E20" s="301" t="s">
        <v>712</v>
      </c>
      <c r="F20" s="321">
        <f>'数据-取费表'!B37</f>
        <v>0.02</v>
      </c>
      <c r="G20" s="1391"/>
      <c r="H20" s="978" t="s">
        <v>680</v>
      </c>
      <c r="I20" s="154" t="s">
        <v>730</v>
      </c>
      <c r="J20" s="22">
        <f ca="1">ROUND(M20*M21,0)</f>
        <v>0</v>
      </c>
      <c r="K20" s="323" t="s">
        <v>731</v>
      </c>
      <c r="L20" s="301" t="s">
        <v>732</v>
      </c>
      <c r="M20" s="324">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1" t="s">
        <v>733</v>
      </c>
      <c r="C21" s="21" t="s">
        <v>0</v>
      </c>
      <c r="D21" s="322" t="s">
        <v>734</v>
      </c>
      <c r="E21" s="301" t="s">
        <v>735</v>
      </c>
      <c r="F21" s="321">
        <f>'数据-取费表'!B38</f>
        <v>0.02</v>
      </c>
      <c r="G21" s="1391"/>
      <c r="H21" s="325"/>
      <c r="I21" s="310"/>
      <c r="J21" s="26"/>
      <c r="K21" s="326"/>
      <c r="L21" s="301" t="s">
        <v>736</v>
      </c>
      <c r="M21" s="302">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5"/>
      <c r="F22" s="23"/>
      <c r="G22" s="1379"/>
      <c r="H22" s="978" t="s">
        <v>402</v>
      </c>
      <c r="I22" s="301" t="s">
        <v>738</v>
      </c>
      <c r="J22" s="21">
        <f ca="1">ROUND(J14*M22,0)</f>
        <v>0</v>
      </c>
      <c r="K22" s="1339" t="s">
        <v>739</v>
      </c>
      <c r="L22" s="301" t="s">
        <v>712</v>
      </c>
      <c r="M22" s="327">
        <f ca="1">INDIRECT("'数据-取费表'!Ak"&amp;$G$1)</f>
        <v>0</v>
      </c>
    </row>
    <row r="23" spans="1:37" s="1392"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1"/>
      <c r="H23" s="978" t="s">
        <v>437</v>
      </c>
      <c r="I23" s="301" t="s">
        <v>742</v>
      </c>
      <c r="J23" s="21">
        <f ca="1">ROUND(J13*M23,0)</f>
        <v>0</v>
      </c>
      <c r="K23" s="1339" t="s">
        <v>743</v>
      </c>
      <c r="L23" s="301" t="s">
        <v>744</v>
      </c>
      <c r="M23" s="329">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1"/>
      <c r="H24" s="1085" t="s">
        <v>684</v>
      </c>
      <c r="I24" s="1086" t="s">
        <v>728</v>
      </c>
      <c r="J24" s="1087">
        <f ca="1">ROUND(J5*M24,0)</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1" t="s">
        <v>750</v>
      </c>
      <c r="C25" s="21"/>
      <c r="D25" s="130" t="s">
        <v>751</v>
      </c>
      <c r="E25" s="1355"/>
      <c r="F25" s="23"/>
      <c r="G25" s="1379"/>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79"/>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79"/>
      <c r="H27" s="303"/>
      <c r="I27" s="304"/>
      <c r="J27" s="305"/>
      <c r="K27" s="331" t="s">
        <v>762</v>
      </c>
      <c r="L27" s="301" t="s">
        <v>763</v>
      </c>
      <c r="M27" s="332">
        <f ca="1">INDIRECT("'数据-取费表'!ag"&amp;$G$1)</f>
        <v>0</v>
      </c>
    </row>
    <row r="28" spans="1:37" s="1392" customFormat="1" ht="18" customHeight="1">
      <c r="A28" s="978" t="s">
        <v>400</v>
      </c>
      <c r="B28" s="301" t="s">
        <v>764</v>
      </c>
      <c r="C28" s="21">
        <f>ROUND(F28/(1+'数据-取费表'!C42),4)</f>
        <v>5.33E-2</v>
      </c>
      <c r="D28" s="322" t="s">
        <v>765</v>
      </c>
      <c r="E28" s="301" t="s">
        <v>712</v>
      </c>
      <c r="F28" s="321">
        <f>'数据-取费表'!B41</f>
        <v>5.6000000000000001E-2</v>
      </c>
      <c r="G28" s="1391"/>
      <c r="H28" s="307"/>
      <c r="I28" s="308"/>
      <c r="J28" s="309"/>
      <c r="K28" s="326"/>
      <c r="L28" s="301" t="s">
        <v>766</v>
      </c>
      <c r="M28" s="311">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3" t="s">
        <v>396</v>
      </c>
      <c r="I29" s="334" t="s">
        <v>768</v>
      </c>
      <c r="J29" s="335">
        <f ca="1">ROUND(J26/(1+F40)^F41,0)</f>
        <v>0</v>
      </c>
      <c r="K29" s="336" t="s">
        <v>769</v>
      </c>
      <c r="L29" s="337"/>
      <c r="M29" s="338">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09">
        <f ca="1">ROUND(C31+C36+C37+C38,0)</f>
        <v>0</v>
      </c>
      <c r="D30" s="1083" t="s">
        <v>715</v>
      </c>
      <c r="E30" s="1084"/>
      <c r="F30" s="1068"/>
      <c r="G30" s="1379"/>
      <c r="H30" s="2692"/>
      <c r="I30" s="1393"/>
      <c r="J30" s="1394"/>
      <c r="K30" s="2470"/>
      <c r="L30" s="2693"/>
      <c r="M30" s="2694"/>
    </row>
    <row r="31" spans="1:37" ht="18" customHeight="1">
      <c r="A31" s="978" t="s">
        <v>398</v>
      </c>
      <c r="B31" s="301" t="s">
        <v>719</v>
      </c>
      <c r="C31" s="2311">
        <f ca="1">ROUND(IF(AND(项目基本情况!B11="自然人",项目基本情况!B10="北京市"),C6*F31/(1+'数据-取费表'!C42),C32+C33+C34),0)</f>
        <v>0</v>
      </c>
      <c r="D31" s="1340" t="s">
        <v>720</v>
      </c>
      <c r="E31" s="1339" t="s">
        <v>770</v>
      </c>
      <c r="F31" s="2310" t="str">
        <f>IF(项目基本情况!B11="企业","——",IF(M47="住宅",IF(F6*F7*F8/12/(1+'数据-取费表'!F30)&gt;100000,4%,2.5%),IF(F6*F7*F8/12/(1+'数据-取费表'!F30)&gt;100000,12%,7%)))</f>
        <v>——</v>
      </c>
      <c r="G31" s="1379"/>
      <c r="H31" s="2803" t="s">
        <v>2307</v>
      </c>
      <c r="I31" s="1393"/>
      <c r="J31" s="1394"/>
      <c r="K31" s="2470"/>
      <c r="L31" s="2693"/>
      <c r="M31" s="2694"/>
    </row>
    <row r="32" spans="1:37" ht="18" customHeight="1">
      <c r="A32" s="978" t="s">
        <v>397</v>
      </c>
      <c r="B32" s="301" t="s">
        <v>723</v>
      </c>
      <c r="C32" s="21">
        <f ca="1">IF(项目基本情况!B11="自然人","——",ROUND(C6*F32/(1+'数据-取费表'!C42),0))</f>
        <v>0</v>
      </c>
      <c r="D32" s="1339" t="s">
        <v>724</v>
      </c>
      <c r="E32" s="301" t="s">
        <v>712</v>
      </c>
      <c r="F32" s="330">
        <f>'数据-取费表'!B41</f>
        <v>5.6000000000000001E-2</v>
      </c>
      <c r="G32" s="1379"/>
      <c r="H32" s="2692"/>
      <c r="I32" s="1393"/>
      <c r="J32" s="1394"/>
      <c r="K32" s="2470"/>
      <c r="L32" s="2693"/>
      <c r="M32" s="2694"/>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5" t="s">
        <v>3337</v>
      </c>
      <c r="E33" s="301" t="s">
        <v>712</v>
      </c>
      <c r="F33" s="321">
        <f>IF(D33="按票据","——",IF(D33="按租金收入计税",'数据-取费表'!B51,'数据-取费表'!B50))</f>
        <v>0.12</v>
      </c>
      <c r="G33" s="1379"/>
      <c r="H33" s="2695"/>
      <c r="I33" s="1393"/>
      <c r="J33" s="1394"/>
      <c r="K33" s="2696"/>
      <c r="L33" s="2695"/>
      <c r="M33" s="2695"/>
    </row>
    <row r="34" spans="1:18" ht="18" customHeight="1">
      <c r="A34" s="1065" t="s">
        <v>680</v>
      </c>
      <c r="B34" s="154" t="s">
        <v>730</v>
      </c>
      <c r="C34" s="22">
        <f ca="1">IF(项目基本情况!B11="自然人","——",ROUND(F34*F35,0))</f>
        <v>0</v>
      </c>
      <c r="D34" s="323" t="s">
        <v>731</v>
      </c>
      <c r="E34" s="301" t="s">
        <v>732</v>
      </c>
      <c r="F34" s="324">
        <f>'数据-取费表'!B52</f>
        <v>1.5</v>
      </c>
      <c r="G34" s="1379"/>
      <c r="H34" s="2692"/>
      <c r="I34" s="1393"/>
      <c r="J34" s="1394"/>
      <c r="K34" s="2697"/>
      <c r="L34" s="2698"/>
      <c r="M34" s="2698"/>
    </row>
    <row r="35" spans="1:18" ht="18" customHeight="1">
      <c r="A35" s="1099"/>
      <c r="B35" s="1097"/>
      <c r="C35" s="26"/>
      <c r="D35" s="326"/>
      <c r="E35" s="301" t="s">
        <v>736</v>
      </c>
      <c r="F35" s="302">
        <f ca="1">INDIRECT("'数据-取费表'!r"&amp;$G$1)</f>
        <v>0</v>
      </c>
      <c r="G35" s="1379"/>
      <c r="H35" s="2692"/>
      <c r="I35" s="1393"/>
      <c r="J35" s="1394"/>
      <c r="K35" s="2696"/>
      <c r="L35" s="2695"/>
      <c r="M35" s="2695"/>
    </row>
    <row r="36" spans="1:18" ht="18" customHeight="1">
      <c r="A36" s="1098" t="s">
        <v>402</v>
      </c>
      <c r="B36" s="301" t="s">
        <v>738</v>
      </c>
      <c r="C36" s="21">
        <f ca="1">ROUND(C29*F36,0)</f>
        <v>0</v>
      </c>
      <c r="D36" s="1339" t="s">
        <v>771</v>
      </c>
      <c r="E36" s="301" t="s">
        <v>712</v>
      </c>
      <c r="F36" s="327">
        <f ca="1">INDIRECT("'数据-取费表'!Ak"&amp;$G$1)</f>
        <v>0</v>
      </c>
      <c r="G36" s="1379"/>
      <c r="H36" s="2695"/>
      <c r="I36" s="1393"/>
      <c r="J36" s="1394"/>
      <c r="K36" s="2539"/>
      <c r="L36" s="2695"/>
      <c r="M36" s="2695"/>
    </row>
    <row r="37" spans="1:18" ht="18" customHeight="1">
      <c r="A37" s="978" t="s">
        <v>437</v>
      </c>
      <c r="B37" s="301" t="s">
        <v>742</v>
      </c>
      <c r="C37" s="21">
        <f ca="1">ROUND(C13*F37,0)</f>
        <v>0</v>
      </c>
      <c r="D37" s="1339" t="s">
        <v>743</v>
      </c>
      <c r="E37" s="301" t="s">
        <v>744</v>
      </c>
      <c r="F37" s="329">
        <f ca="1">INDIRECT("'数据-取费表'!Al"&amp;$G$1)</f>
        <v>0</v>
      </c>
      <c r="G37" s="1379"/>
      <c r="H37" s="2695"/>
      <c r="I37" s="1393"/>
      <c r="J37" s="1394"/>
      <c r="K37" s="2539"/>
      <c r="L37" s="2695"/>
      <c r="M37" s="2695"/>
    </row>
    <row r="38" spans="1:18" ht="18" customHeight="1" thickBot="1">
      <c r="A38" s="1085" t="s">
        <v>684</v>
      </c>
      <c r="B38" s="1086" t="s">
        <v>728</v>
      </c>
      <c r="C38" s="1087">
        <f ca="1">ROUND(C5*F38,0)</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09">
        <f ca="1">C5-C30</f>
        <v>0</v>
      </c>
      <c r="D39" s="1091" t="s">
        <v>773</v>
      </c>
      <c r="E39" s="1092"/>
      <c r="F39" s="1093"/>
      <c r="G39" s="1379"/>
      <c r="H39" s="2695"/>
      <c r="I39" s="1393"/>
      <c r="J39" s="1394"/>
      <c r="K39" s="2699"/>
      <c r="L39" s="2695"/>
      <c r="M39" s="2695"/>
    </row>
    <row r="40" spans="1:18" ht="18" customHeight="1">
      <c r="A40" s="298" t="s">
        <v>395</v>
      </c>
      <c r="B40" s="299" t="s">
        <v>774</v>
      </c>
      <c r="C40" s="300" t="e">
        <f ca="1">ROUND(C39*(1-((1+F42)/(1+F40))^F41)/(F40-F42),0)</f>
        <v>#DIV/0!</v>
      </c>
      <c r="D40" s="323" t="s">
        <v>758</v>
      </c>
      <c r="E40" s="301" t="s">
        <v>759</v>
      </c>
      <c r="F40" s="311">
        <f ca="1">INDIRECT("'数据-取费表'!I"&amp;$G$1)</f>
        <v>0</v>
      </c>
      <c r="G40" s="1379"/>
      <c r="H40" s="1456"/>
      <c r="I40" s="1393"/>
      <c r="J40" s="1394"/>
      <c r="K40" s="2699"/>
      <c r="L40" s="1456"/>
      <c r="M40" s="1456"/>
    </row>
    <row r="41" spans="1:18" ht="18" customHeight="1">
      <c r="A41" s="303"/>
      <c r="B41" s="304"/>
      <c r="C41" s="305"/>
      <c r="D41" s="331" t="s">
        <v>775</v>
      </c>
      <c r="E41" s="301" t="s">
        <v>763</v>
      </c>
      <c r="F41" s="332">
        <f ca="1">IF(INDIRECT("'数据-取费表'!af"&amp;$G$1)=0,INDIRECT("'数据-取费表'!ae"&amp;$G$1),INDIRECT("'数据-取费表'!af"&amp;$G$1))</f>
        <v>0</v>
      </c>
      <c r="G41" s="1379"/>
      <c r="H41" s="1186"/>
      <c r="I41" s="1393"/>
      <c r="J41" s="1394"/>
      <c r="K41" s="2539"/>
      <c r="L41" s="1186"/>
      <c r="M41" s="1186"/>
    </row>
    <row r="42" spans="1:18" ht="18" customHeight="1">
      <c r="A42" s="307"/>
      <c r="B42" s="308"/>
      <c r="C42" s="309"/>
      <c r="D42" s="326"/>
      <c r="E42" s="301" t="s">
        <v>766</v>
      </c>
      <c r="F42" s="311">
        <f ca="1">INDIRECT("'数据-取费表'!v"&amp;$G$1)</f>
        <v>0</v>
      </c>
      <c r="G42" s="1379"/>
      <c r="H42" s="1186"/>
      <c r="I42" s="1393"/>
      <c r="J42" s="1394"/>
      <c r="K42" s="2539"/>
      <c r="L42" s="1186"/>
      <c r="M42" s="1186"/>
    </row>
    <row r="43" spans="1:18" ht="18" customHeight="1" thickBot="1">
      <c r="A43" s="333" t="s">
        <v>396</v>
      </c>
      <c r="B43" s="334" t="s">
        <v>776</v>
      </c>
      <c r="C43" s="335" t="e">
        <f ca="1">ROUND(C40/F43,0)</f>
        <v>#DIV/0!</v>
      </c>
      <c r="D43" s="336" t="s">
        <v>777</v>
      </c>
      <c r="E43" s="337" t="s">
        <v>778</v>
      </c>
      <c r="F43" s="338">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6" t="s">
        <v>3353</v>
      </c>
      <c r="B45" s="1395"/>
      <c r="C45" s="1467" t="e">
        <f ca="1">ROUND((C68-C40)/10000,4)</f>
        <v>#DIV/0!</v>
      </c>
      <c r="D45" s="3427" t="s">
        <v>3354</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0"/>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299" t="s">
        <v>692</v>
      </c>
      <c r="C48" s="1354">
        <f ca="1">C49+C53+C55</f>
        <v>0</v>
      </c>
      <c r="D48" s="1108"/>
      <c r="E48" s="1109"/>
      <c r="F48" s="958"/>
      <c r="G48" s="720"/>
      <c r="H48" s="721"/>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ROUND(F49*F51*F50*(1-F52),0)</f>
        <v>0</v>
      </c>
      <c r="D49" s="1051" t="s">
        <v>695</v>
      </c>
      <c r="E49" s="1367" t="s">
        <v>780</v>
      </c>
      <c r="F49" s="1056"/>
      <c r="G49" s="1420"/>
      <c r="H49" s="721"/>
      <c r="I49" s="1416" t="s">
        <v>823</v>
      </c>
      <c r="J49" s="1421"/>
      <c r="K49" s="1418" t="s">
        <v>824</v>
      </c>
      <c r="L49" s="1422"/>
      <c r="O49" s="1423" t="s">
        <v>405</v>
      </c>
      <c r="P49" s="1414" t="s">
        <v>825</v>
      </c>
      <c r="Q49" s="1415">
        <f ca="1">C29</f>
        <v>0</v>
      </c>
      <c r="R49" s="1415" t="s">
        <v>818</v>
      </c>
    </row>
    <row r="50" spans="1:18" s="1379" customFormat="1" ht="13.5" thickBot="1">
      <c r="A50" s="972"/>
      <c r="B50" s="975"/>
      <c r="C50" s="976"/>
      <c r="D50" s="949"/>
      <c r="E50" s="1052" t="s">
        <v>697</v>
      </c>
      <c r="F50" s="1053">
        <f ca="1">F7</f>
        <v>0</v>
      </c>
      <c r="H50" s="721"/>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2">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30.75" customHeight="1" thickBot="1">
      <c r="A53" s="1107" t="s">
        <v>440</v>
      </c>
      <c r="B53" s="322" t="s">
        <v>700</v>
      </c>
      <c r="C53" s="315">
        <f ca="1">ROUND(IF(F53="押一",C49/12*F11,IF(F53="押二",C49/12*2*F11,IF(F53="押三",C49/12*3*F11,C54*F11))),0)</f>
        <v>0</v>
      </c>
      <c r="D53" s="1361" t="s">
        <v>2116</v>
      </c>
      <c r="E53" s="312" t="s">
        <v>701</v>
      </c>
      <c r="F53" s="1112"/>
      <c r="I53" s="1434" t="s">
        <v>836</v>
      </c>
      <c r="J53" s="2163">
        <f ca="1">IF(M47="住宅",IF(D1="——",MAX(J51,L48),MAX(J51,L48-'数据-取费表'!B24)),IF(D1="——",MIN(J51,L48),MIN(J51,L48-'数据-取费表'!B24)))</f>
        <v>0</v>
      </c>
      <c r="K53" s="3678" t="s">
        <v>837</v>
      </c>
      <c r="L53" s="3679"/>
      <c r="O53" s="1413" t="s">
        <v>409</v>
      </c>
      <c r="P53" s="1414" t="s">
        <v>838</v>
      </c>
      <c r="Q53" s="1415" t="e">
        <f ca="1">Q47+Q48</f>
        <v>#DIV/0!</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3">
        <v>2</v>
      </c>
      <c r="B56" s="954" t="s">
        <v>704</v>
      </c>
      <c r="C56" s="231">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6" t="s">
        <v>767</v>
      </c>
      <c r="C57" s="237">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4" t="s">
        <v>393</v>
      </c>
      <c r="B58" s="954" t="s">
        <v>714</v>
      </c>
      <c r="C58" s="315">
        <f ca="1">ROUND(C59+C64+C65+C66,0)</f>
        <v>0</v>
      </c>
      <c r="D58" s="956" t="s">
        <v>715</v>
      </c>
      <c r="E58" s="957"/>
      <c r="F58" s="958"/>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0">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3337</v>
      </c>
      <c r="E61" s="946" t="s">
        <v>783</v>
      </c>
      <c r="F61" s="321">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4">
        <f t="shared" si="0"/>
        <v>1.5</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5"/>
      <c r="B63" s="952"/>
      <c r="C63" s="26"/>
      <c r="D63" s="962"/>
      <c r="E63" s="946" t="s">
        <v>788</v>
      </c>
      <c r="F63" s="302">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0</v>
      </c>
      <c r="D64" s="960" t="s">
        <v>791</v>
      </c>
      <c r="E64" s="946" t="s">
        <v>783</v>
      </c>
      <c r="F64" s="327">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0</v>
      </c>
      <c r="D65" s="960" t="s">
        <v>743</v>
      </c>
      <c r="E65" s="946" t="s">
        <v>744</v>
      </c>
      <c r="F65" s="329">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ROUND(C48*F66,0)</f>
        <v>0</v>
      </c>
      <c r="D66" s="960" t="s">
        <v>794</v>
      </c>
      <c r="E66" s="946" t="s">
        <v>712</v>
      </c>
      <c r="F66" s="311">
        <f t="shared" ca="1" si="0"/>
        <v>0</v>
      </c>
      <c r="O66" s="1413" t="s">
        <v>404</v>
      </c>
      <c r="P66" s="1414" t="s">
        <v>846</v>
      </c>
      <c r="Q66" s="1415" t="e">
        <f ca="1">L60</f>
        <v>#DIV/0!</v>
      </c>
      <c r="R66" s="1415" t="s">
        <v>869</v>
      </c>
    </row>
    <row r="67" spans="1:18" s="1379" customFormat="1" ht="16.5" thickBot="1">
      <c r="A67" s="953" t="s">
        <v>394</v>
      </c>
      <c r="B67" s="963" t="s">
        <v>752</v>
      </c>
      <c r="C67" s="315">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0" t="e">
        <f ca="1">ROUND(C67*(1-((1+F70)/(1+F68))^F69)/(F68-F70),0)</f>
        <v>#DIV/0!</v>
      </c>
      <c r="D68" s="961" t="s">
        <v>758</v>
      </c>
      <c r="E68" s="946" t="s">
        <v>759</v>
      </c>
      <c r="F68" s="311">
        <f ca="1">F40</f>
        <v>0</v>
      </c>
      <c r="O68" s="1423" t="s">
        <v>406</v>
      </c>
      <c r="P68" s="1462" t="s">
        <v>871</v>
      </c>
      <c r="Q68" s="1415">
        <f ca="1">ROUND(Q69-Q70*Q71,0)</f>
        <v>0</v>
      </c>
      <c r="R68" s="1415" t="s">
        <v>414</v>
      </c>
    </row>
    <row r="69" spans="1:18" s="1379" customFormat="1" ht="13.5" thickBot="1">
      <c r="A69" s="947"/>
      <c r="B69" s="948"/>
      <c r="C69" s="305"/>
      <c r="D69" s="966" t="s">
        <v>762</v>
      </c>
      <c r="E69" s="946" t="s">
        <v>763</v>
      </c>
      <c r="F69" s="332">
        <f ca="1">F41</f>
        <v>0</v>
      </c>
      <c r="O69" s="1423" t="s">
        <v>411</v>
      </c>
      <c r="P69" s="1462" t="s">
        <v>872</v>
      </c>
      <c r="Q69" s="1415">
        <f ca="1">C39</f>
        <v>0</v>
      </c>
      <c r="R69" s="1415" t="s">
        <v>818</v>
      </c>
    </row>
    <row r="70" spans="1:18" s="1379" customFormat="1" ht="13.5" thickBot="1">
      <c r="A70" s="950"/>
      <c r="B70" s="951"/>
      <c r="C70" s="309"/>
      <c r="D70" s="962"/>
      <c r="E70" s="946" t="s">
        <v>766</v>
      </c>
      <c r="F70" s="1050"/>
      <c r="O70" s="1423" t="s">
        <v>412</v>
      </c>
      <c r="P70" s="1462" t="s">
        <v>873</v>
      </c>
      <c r="Q70" s="1415">
        <f ca="1">C13</f>
        <v>0</v>
      </c>
      <c r="R70" s="1415" t="s">
        <v>818</v>
      </c>
    </row>
    <row r="71" spans="1:18" s="1379" customFormat="1" ht="13.5" thickBot="1">
      <c r="A71" s="967" t="s">
        <v>396</v>
      </c>
      <c r="B71" s="968" t="s">
        <v>776</v>
      </c>
      <c r="C71" s="335" t="e">
        <f ca="1">ROUND(C68/F71,0)</f>
        <v>#DIV/0!</v>
      </c>
      <c r="D71" s="969" t="s">
        <v>777</v>
      </c>
      <c r="E71" s="970" t="s">
        <v>778</v>
      </c>
      <c r="F71" s="338">
        <f ca="1">F43</f>
        <v>0</v>
      </c>
      <c r="O71" s="1423" t="s">
        <v>413</v>
      </c>
      <c r="P71" s="1462" t="s">
        <v>874</v>
      </c>
      <c r="Q71" s="1426">
        <f ca="1">C76</f>
        <v>0</v>
      </c>
      <c r="R71" s="1415"/>
    </row>
    <row r="72" spans="1:18" s="1379" customFormat="1" ht="13.5" thickBot="1">
      <c r="B72" s="724"/>
      <c r="C72" s="724"/>
      <c r="O72" s="1423" t="s">
        <v>407</v>
      </c>
      <c r="P72" s="1414" t="s">
        <v>852</v>
      </c>
      <c r="Q72" s="1426">
        <f>L52</f>
        <v>0</v>
      </c>
      <c r="R72" s="1415"/>
    </row>
    <row r="73" spans="1:18" ht="16.5" thickBot="1">
      <c r="A73" s="1379"/>
      <c r="B73" s="724"/>
      <c r="C73" s="724"/>
      <c r="D73" s="1379"/>
      <c r="E73" s="1379"/>
      <c r="F73" s="1379"/>
      <c r="O73" s="1423" t="s">
        <v>408</v>
      </c>
      <c r="P73" s="1414" t="s">
        <v>855</v>
      </c>
      <c r="Q73" s="1415" t="e">
        <f ca="1">L58</f>
        <v>#DIV/0!</v>
      </c>
      <c r="R73" s="1415" t="s">
        <v>856</v>
      </c>
    </row>
    <row r="74" spans="1:18" ht="13.5" thickBot="1">
      <c r="A74" s="1379"/>
      <c r="B74" s="272"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39" t="s">
        <v>795</v>
      </c>
      <c r="C75" s="340">
        <f ca="1">ROUND(C13*C76,0)</f>
        <v>0</v>
      </c>
      <c r="D75" s="1379"/>
      <c r="E75" s="1379"/>
      <c r="F75" s="1379"/>
      <c r="K75" s="1397"/>
      <c r="L75" s="1379"/>
      <c r="O75" s="1413" t="s">
        <v>409</v>
      </c>
      <c r="P75" s="1414" t="s">
        <v>838</v>
      </c>
      <c r="Q75" s="1415" t="e">
        <f ca="1">Q65+Q66</f>
        <v>#DIV/0!</v>
      </c>
      <c r="R75" s="1415" t="s">
        <v>410</v>
      </c>
    </row>
    <row r="76" spans="1:18">
      <c r="B76" s="341" t="s">
        <v>796</v>
      </c>
      <c r="C76" s="342">
        <f ca="1">INDIRECT("'数据-取费表'!j"&amp;$G$1)</f>
        <v>0</v>
      </c>
      <c r="I76" s="1379"/>
      <c r="J76" s="1379"/>
      <c r="K76" s="1397"/>
      <c r="L76" s="1379"/>
    </row>
    <row r="77" spans="1:18">
      <c r="B77" s="343" t="s">
        <v>797</v>
      </c>
      <c r="C77" s="344"/>
      <c r="I77" s="1379"/>
      <c r="J77" s="1379"/>
      <c r="K77" s="1397"/>
      <c r="L77" s="1379"/>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0" t="s">
        <v>2316</v>
      </c>
      <c r="B2" s="2838" t="e">
        <f>IF(D2="——",C40,C40+E2)</f>
        <v>#DIV/0!</v>
      </c>
      <c r="C2" s="2839" t="s">
        <v>2317</v>
      </c>
      <c r="D2" s="3438" t="s">
        <v>3360</v>
      </c>
      <c r="E2" s="3439"/>
      <c r="F2" s="2841"/>
      <c r="G2" s="2842"/>
      <c r="H2" s="2843"/>
      <c r="I2" s="2844"/>
      <c r="J2" s="3689" t="s">
        <v>2318</v>
      </c>
      <c r="K2" s="3690"/>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91" t="s">
        <v>2328</v>
      </c>
      <c r="K3" s="3692"/>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91" t="s">
        <v>2330</v>
      </c>
      <c r="K4" s="3692"/>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97" t="s">
        <v>2334</v>
      </c>
      <c r="B6" s="3698"/>
      <c r="C6" s="3699"/>
      <c r="D6" s="2865"/>
      <c r="E6" s="2866"/>
      <c r="F6" s="2867"/>
      <c r="G6" s="2868"/>
      <c r="H6" s="2843"/>
      <c r="I6" s="2844"/>
      <c r="J6" s="3683">
        <v>1</v>
      </c>
      <c r="K6" s="3684"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83"/>
      <c r="K7" s="3685"/>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700" t="s">
        <v>2348</v>
      </c>
      <c r="C8" s="3701"/>
      <c r="D8" s="2884" t="s">
        <v>2349</v>
      </c>
      <c r="E8" s="2885" t="s">
        <v>2350</v>
      </c>
      <c r="F8" s="2886" t="s">
        <v>2351</v>
      </c>
      <c r="G8" s="2887"/>
      <c r="H8" s="2843"/>
      <c r="I8" s="2844"/>
      <c r="J8" s="3683"/>
      <c r="K8" s="3685"/>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700" t="s">
        <v>2354</v>
      </c>
      <c r="C9" s="3701"/>
      <c r="D9" s="2884">
        <f>ROUND(D6*E9,0)</f>
        <v>0</v>
      </c>
      <c r="E9" s="2888"/>
      <c r="F9" s="2889" t="s">
        <v>2355</v>
      </c>
      <c r="G9" s="2868"/>
      <c r="H9" s="2843"/>
      <c r="I9" s="2844"/>
      <c r="J9" s="3683"/>
      <c r="K9" s="3685"/>
      <c r="L9" s="2878" t="s">
        <v>2356</v>
      </c>
      <c r="M9" s="2879"/>
      <c r="N9" s="2855"/>
      <c r="O9" s="2880"/>
      <c r="P9" s="2880"/>
      <c r="Q9" s="2881">
        <v>365</v>
      </c>
      <c r="R9" s="2882">
        <f t="shared" si="0"/>
        <v>0</v>
      </c>
      <c r="S9" s="2836"/>
      <c r="T9" s="2836"/>
      <c r="U9" s="2836"/>
      <c r="V9" s="2844"/>
    </row>
    <row r="10" spans="1:22" s="2848" customFormat="1" ht="13.15" customHeight="1">
      <c r="A10" s="2883">
        <v>2</v>
      </c>
      <c r="B10" s="3700" t="s">
        <v>2357</v>
      </c>
      <c r="C10" s="3701"/>
      <c r="D10" s="2884">
        <f>ROUND(D6*E10,0)</f>
        <v>0</v>
      </c>
      <c r="E10" s="2888"/>
      <c r="F10" s="2889" t="s">
        <v>2358</v>
      </c>
      <c r="G10" s="2868"/>
      <c r="H10" s="2843"/>
      <c r="I10" s="2844"/>
      <c r="J10" s="3683"/>
      <c r="K10" s="3685"/>
      <c r="L10" s="2878" t="s">
        <v>2359</v>
      </c>
      <c r="M10" s="2879"/>
      <c r="N10" s="2855"/>
      <c r="O10" s="2880"/>
      <c r="P10" s="2880"/>
      <c r="Q10" s="2881">
        <v>365</v>
      </c>
      <c r="R10" s="2882">
        <f t="shared" si="0"/>
        <v>0</v>
      </c>
      <c r="S10" s="2836"/>
      <c r="T10" s="2836"/>
      <c r="U10" s="2836"/>
      <c r="V10" s="2844"/>
    </row>
    <row r="11" spans="1:22" s="2848" customFormat="1" ht="13.15" customHeight="1">
      <c r="A11" s="2883">
        <v>3</v>
      </c>
      <c r="B11" s="3700" t="s">
        <v>2360</v>
      </c>
      <c r="C11" s="3701"/>
      <c r="D11" s="2884">
        <f>D12+D14+D15+D16</f>
        <v>0</v>
      </c>
      <c r="E11" s="2890" t="e">
        <f>D11/D6</f>
        <v>#DIV/0!</v>
      </c>
      <c r="F11" s="2886"/>
      <c r="G11" s="2887"/>
      <c r="H11" s="2843"/>
      <c r="I11" s="2844"/>
      <c r="J11" s="3683"/>
      <c r="K11" s="3685"/>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93" t="s">
        <v>2363</v>
      </c>
      <c r="C12" s="3694"/>
      <c r="D12" s="2892">
        <f>ROUND(D13*1.2%*(1-30%),0)</f>
        <v>0</v>
      </c>
      <c r="E12" s="2893">
        <v>1.2E-2</v>
      </c>
      <c r="F12" s="2886" t="s">
        <v>2364</v>
      </c>
      <c r="G12" s="2887"/>
      <c r="H12" s="2843"/>
      <c r="I12" s="2844"/>
      <c r="J12" s="3683"/>
      <c r="K12" s="3685"/>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83"/>
      <c r="K13" s="3685"/>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93" t="s">
        <v>2369</v>
      </c>
      <c r="C14" s="3694"/>
      <c r="D14" s="2892">
        <f>ROUND(E14*B5/10000,0)</f>
        <v>0</v>
      </c>
      <c r="E14" s="2881"/>
      <c r="F14" s="2886" t="s">
        <v>2370</v>
      </c>
      <c r="G14" s="2887"/>
      <c r="H14" s="2843"/>
      <c r="I14" s="2844"/>
      <c r="J14" s="3683"/>
      <c r="K14" s="3686"/>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93" t="s">
        <v>2373</v>
      </c>
      <c r="C15" s="3694"/>
      <c r="D15" s="2892">
        <f>ROUND(D6*E15,0)</f>
        <v>0</v>
      </c>
      <c r="E15" s="2893">
        <v>5.5E-2</v>
      </c>
      <c r="F15" s="2886" t="s">
        <v>2374</v>
      </c>
      <c r="G15" s="2868"/>
      <c r="H15" s="2843"/>
      <c r="I15" s="2844"/>
      <c r="J15" s="3683">
        <v>2</v>
      </c>
      <c r="K15" s="3684"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93" t="s">
        <v>2382</v>
      </c>
      <c r="C16" s="3694"/>
      <c r="D16" s="2903">
        <f>D6*E16</f>
        <v>0</v>
      </c>
      <c r="E16" s="2904"/>
      <c r="F16" s="2889" t="s">
        <v>2383</v>
      </c>
      <c r="G16" s="2868"/>
      <c r="H16" s="2843"/>
      <c r="I16" s="2844"/>
      <c r="J16" s="3683"/>
      <c r="K16" s="3685"/>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95" t="s">
        <v>2385</v>
      </c>
      <c r="C17" s="3696"/>
      <c r="D17" s="2906">
        <f>ROUND(D6*E17,0)</f>
        <v>0</v>
      </c>
      <c r="E17" s="2907"/>
      <c r="F17" s="2908" t="s">
        <v>2386</v>
      </c>
      <c r="G17" s="2868"/>
      <c r="H17" s="2843"/>
      <c r="I17" s="2844"/>
      <c r="J17" s="3683"/>
      <c r="K17" s="3685"/>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83"/>
      <c r="K18" s="3685"/>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83"/>
      <c r="K19" s="3686"/>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83">
        <v>3</v>
      </c>
      <c r="K20" s="3684"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83"/>
      <c r="K21" s="3685"/>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83"/>
      <c r="K22" s="3685"/>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83"/>
      <c r="K23" s="3685"/>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83"/>
      <c r="K24" s="3686"/>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87">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8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89" t="s">
        <v>2318</v>
      </c>
      <c r="K32" s="3690"/>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91" t="s">
        <v>2328</v>
      </c>
      <c r="K33" s="3692"/>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91" t="s">
        <v>2330</v>
      </c>
      <c r="K34" s="369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83">
        <v>1</v>
      </c>
      <c r="K36" s="3684"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83"/>
      <c r="K37" s="3685"/>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83"/>
      <c r="K38" s="3685"/>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83"/>
      <c r="K39" s="3685"/>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83"/>
      <c r="K40" s="3686"/>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87">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8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1658</v>
      </c>
      <c r="B1" s="1873" t="s">
        <v>1659</v>
      </c>
      <c r="C1" s="1233" t="s">
        <v>1660</v>
      </c>
      <c r="D1" s="1220"/>
      <c r="E1" s="3421"/>
      <c r="F1" s="1874"/>
      <c r="G1" s="1230" t="s">
        <v>1661</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6" customFormat="1" ht="28.5" customHeight="1" thickTop="1">
      <c r="A2" s="1216" t="s">
        <v>685</v>
      </c>
      <c r="B2" s="3422"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1662</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6" customFormat="1" ht="28.5" customHeight="1" thickBot="1">
      <c r="A3" s="202" t="s">
        <v>686</v>
      </c>
      <c r="B3" s="352">
        <f>IF(C2="——",C49,ROUND(B2*10000/D3,0))</f>
        <v>0</v>
      </c>
      <c r="C3" s="353" t="s">
        <v>1663</v>
      </c>
      <c r="D3" s="352">
        <f>IF(D1="",'数据-汇总表'!E3,SUMIF('数据-汇总表'!$C19:$C33,D1,'数据-汇总表'!$E19:$E33))</f>
        <v>39707.960000000006</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7"/>
    </row>
    <row r="4" spans="1:29" ht="15">
      <c r="A4" s="354" t="s">
        <v>1664</v>
      </c>
      <c r="B4" s="355"/>
      <c r="C4" s="3720" t="s">
        <v>1665</v>
      </c>
      <c r="D4" s="3721"/>
      <c r="E4" s="3722" t="s">
        <v>1666</v>
      </c>
      <c r="F4" s="3723"/>
      <c r="G4" s="3720" t="s">
        <v>1667</v>
      </c>
      <c r="H4" s="3721"/>
      <c r="I4" s="3720" t="s">
        <v>1668</v>
      </c>
      <c r="J4" s="3721"/>
      <c r="K4" s="1884" t="s">
        <v>1669</v>
      </c>
      <c r="L4" s="2710"/>
      <c r="M4" s="2711"/>
      <c r="N4" s="2711"/>
      <c r="O4" s="2711"/>
      <c r="P4" s="3724" t="s">
        <v>1670</v>
      </c>
      <c r="Q4" s="3725"/>
      <c r="R4" s="3730" t="s">
        <v>1666</v>
      </c>
      <c r="S4" s="3731"/>
      <c r="T4" s="3730" t="s">
        <v>1667</v>
      </c>
      <c r="U4" s="3731"/>
      <c r="V4" s="3736" t="s">
        <v>1668</v>
      </c>
      <c r="W4" s="3736"/>
      <c r="X4" s="1350"/>
      <c r="Y4" s="3730" t="s">
        <v>1670</v>
      </c>
      <c r="Z4" s="3731"/>
      <c r="AA4" s="3717" t="s">
        <v>1666</v>
      </c>
      <c r="AB4" s="3717" t="s">
        <v>1667</v>
      </c>
      <c r="AC4" s="3717" t="s">
        <v>1668</v>
      </c>
    </row>
    <row r="5" spans="1:29" ht="15">
      <c r="A5" s="357"/>
      <c r="B5" s="358"/>
      <c r="C5" s="3739" t="s">
        <v>1671</v>
      </c>
      <c r="D5" s="3740"/>
      <c r="E5" s="3746" t="s">
        <v>1672</v>
      </c>
      <c r="F5" s="3747"/>
      <c r="G5" s="3739" t="s">
        <v>1673</v>
      </c>
      <c r="H5" s="3740"/>
      <c r="I5" s="3739" t="s">
        <v>1674</v>
      </c>
      <c r="J5" s="3740"/>
      <c r="K5" s="1885"/>
      <c r="L5" s="2710"/>
      <c r="M5" s="2711"/>
      <c r="N5" s="2711"/>
      <c r="O5" s="2711"/>
      <c r="P5" s="3726"/>
      <c r="Q5" s="3727"/>
      <c r="R5" s="3732"/>
      <c r="S5" s="3733"/>
      <c r="T5" s="3732"/>
      <c r="U5" s="3733"/>
      <c r="V5" s="3736"/>
      <c r="W5" s="3736"/>
      <c r="X5" s="1350"/>
      <c r="Y5" s="3732"/>
      <c r="Z5" s="3733"/>
      <c r="AA5" s="3718"/>
      <c r="AB5" s="3718"/>
      <c r="AC5" s="3718"/>
    </row>
    <row r="6" spans="1:29" ht="15.75" thickBot="1">
      <c r="A6" s="359"/>
      <c r="B6" s="360"/>
      <c r="C6" s="3737" t="s">
        <v>1675</v>
      </c>
      <c r="D6" s="3738"/>
      <c r="E6" s="3744" t="s">
        <v>1675</v>
      </c>
      <c r="F6" s="3745"/>
      <c r="G6" s="3737" t="s">
        <v>1675</v>
      </c>
      <c r="H6" s="3738"/>
      <c r="I6" s="3737" t="s">
        <v>1675</v>
      </c>
      <c r="J6" s="3738"/>
      <c r="K6" s="1885" t="s">
        <v>1676</v>
      </c>
      <c r="L6" s="2710"/>
      <c r="M6" s="2711"/>
      <c r="N6" s="2711"/>
      <c r="O6" s="2711"/>
      <c r="P6" s="3728"/>
      <c r="Q6" s="3729"/>
      <c r="R6" s="3732"/>
      <c r="S6" s="3733"/>
      <c r="T6" s="3734"/>
      <c r="U6" s="3735"/>
      <c r="V6" s="3736"/>
      <c r="W6" s="3736"/>
      <c r="X6" s="1350"/>
      <c r="Y6" s="3734"/>
      <c r="Z6" s="3735"/>
      <c r="AA6" s="3719"/>
      <c r="AB6" s="3719"/>
      <c r="AC6" s="3719"/>
    </row>
    <row r="7" spans="1:29" s="108" customFormat="1" ht="15.75" thickBot="1">
      <c r="A7" s="361" t="s">
        <v>1677</v>
      </c>
      <c r="B7" s="362"/>
      <c r="C7" s="363">
        <f>'数据-取费表'!B2</f>
        <v>45322</v>
      </c>
      <c r="D7" s="364">
        <v>100</v>
      </c>
      <c r="E7" s="365"/>
      <c r="F7" s="366">
        <f>SUMIF(58:58,YEAR(E7)&amp;"-"&amp;MONTH(E7),59:59)</f>
        <v>0</v>
      </c>
      <c r="G7" s="365"/>
      <c r="H7" s="364">
        <f>SUMIF(58:58,YEAR(G7)&amp;"-"&amp;MONTH(G7),59:59)</f>
        <v>0</v>
      </c>
      <c r="I7" s="365"/>
      <c r="J7" s="364">
        <f>SUMIF(58:58,YEAR(I7)&amp;"-"&amp;MONTH(I7),59:59)</f>
        <v>0</v>
      </c>
      <c r="K7" s="1886"/>
      <c r="L7" s="2712"/>
      <c r="M7" s="2713"/>
      <c r="N7" s="2713"/>
      <c r="O7" s="2713"/>
      <c r="P7" s="3741" t="s">
        <v>1678</v>
      </c>
      <c r="Q7" s="3743"/>
      <c r="R7" s="699" t="s">
        <v>20</v>
      </c>
      <c r="S7" s="700">
        <f t="shared" ref="S7:S15" si="0">F7</f>
        <v>0</v>
      </c>
      <c r="T7" s="699" t="s">
        <v>20</v>
      </c>
      <c r="U7" s="700">
        <f t="shared" ref="U7:U15" si="1">H7</f>
        <v>0</v>
      </c>
      <c r="V7" s="699" t="s">
        <v>20</v>
      </c>
      <c r="W7" s="700">
        <f t="shared" ref="W7:W15" si="2">J7</f>
        <v>0</v>
      </c>
      <c r="X7" s="701"/>
      <c r="Y7" s="3741" t="s">
        <v>1678</v>
      </c>
      <c r="Z7" s="3742"/>
      <c r="AA7" s="702" t="e">
        <f>D7/F7</f>
        <v>#DIV/0!</v>
      </c>
      <c r="AB7" s="702" t="e">
        <f>D7/H7</f>
        <v>#DIV/0!</v>
      </c>
      <c r="AC7" s="702" t="e">
        <f>D7/J7</f>
        <v>#DIV/0!</v>
      </c>
    </row>
    <row r="8" spans="1:29" s="108" customFormat="1" ht="15.75" thickBot="1">
      <c r="A8" s="361" t="s">
        <v>1679</v>
      </c>
      <c r="B8" s="362"/>
      <c r="C8" s="367"/>
      <c r="D8" s="364">
        <v>100</v>
      </c>
      <c r="E8" s="1887"/>
      <c r="F8" s="366">
        <f>SUMIF(61:61,E8,62:62)-SUMIF(61:61,C8,62:62)+100</f>
        <v>100</v>
      </c>
      <c r="G8" s="367"/>
      <c r="H8" s="364">
        <f>SUMIF(61:61,G8,62:62)-SUMIF(61:61,C8,62:62)+100</f>
        <v>100</v>
      </c>
      <c r="I8" s="1887"/>
      <c r="J8" s="364">
        <f>SUMIF(61:61,I8,62:62)-SUMIF(61:61,C8,62:62)+100</f>
        <v>100</v>
      </c>
      <c r="K8" s="1886"/>
      <c r="L8" s="2712"/>
      <c r="M8" s="2713"/>
      <c r="N8" s="2713"/>
      <c r="O8" s="2713"/>
      <c r="P8" s="3741" t="s">
        <v>1681</v>
      </c>
      <c r="Q8" s="3742"/>
      <c r="R8" s="699" t="s">
        <v>20</v>
      </c>
      <c r="S8" s="700">
        <f t="shared" si="0"/>
        <v>100</v>
      </c>
      <c r="T8" s="699" t="s">
        <v>20</v>
      </c>
      <c r="U8" s="700">
        <f t="shared" si="1"/>
        <v>100</v>
      </c>
      <c r="V8" s="699" t="s">
        <v>20</v>
      </c>
      <c r="W8" s="700">
        <f t="shared" si="2"/>
        <v>100</v>
      </c>
      <c r="X8" s="701"/>
      <c r="Y8" s="3741" t="s">
        <v>1681</v>
      </c>
      <c r="Z8" s="3742"/>
      <c r="AA8" s="702">
        <f t="shared" ref="AA8:AA19" si="3">D8/F8</f>
        <v>1</v>
      </c>
      <c r="AB8" s="702">
        <f t="shared" ref="AB8:AB19" si="4">D8/H8</f>
        <v>1</v>
      </c>
      <c r="AC8" s="702">
        <f t="shared" ref="AC8:AC19" si="5">D8/J8</f>
        <v>1</v>
      </c>
    </row>
    <row r="9" spans="1:29" s="108" customFormat="1">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86"/>
      <c r="L9" s="2712"/>
      <c r="M9" s="2713"/>
      <c r="N9" s="2713"/>
      <c r="O9" s="2713"/>
      <c r="P9" s="3716" t="s">
        <v>1684</v>
      </c>
      <c r="Q9" s="1338" t="str">
        <f t="shared" ref="Q9:Q15" si="6">B9</f>
        <v>用途</v>
      </c>
      <c r="R9" s="699" t="s">
        <v>14</v>
      </c>
      <c r="S9" s="700">
        <f t="shared" si="0"/>
        <v>100</v>
      </c>
      <c r="T9" s="699" t="s">
        <v>14</v>
      </c>
      <c r="U9" s="700">
        <f t="shared" si="1"/>
        <v>100</v>
      </c>
      <c r="V9" s="699" t="s">
        <v>14</v>
      </c>
      <c r="W9" s="700">
        <f t="shared" si="2"/>
        <v>100</v>
      </c>
      <c r="X9" s="701"/>
      <c r="Y9" s="3579" t="s">
        <v>1685</v>
      </c>
      <c r="Z9" s="52" t="str">
        <f t="shared" ref="Z9:Z15" si="7">Q9</f>
        <v>用途</v>
      </c>
      <c r="AA9" s="702">
        <f t="shared" si="3"/>
        <v>1</v>
      </c>
      <c r="AB9" s="702">
        <f t="shared" si="4"/>
        <v>1</v>
      </c>
      <c r="AC9" s="702">
        <f t="shared" si="5"/>
        <v>1</v>
      </c>
    </row>
    <row r="10" spans="1:29" s="377" customFormat="1" ht="27">
      <c r="A10" s="373"/>
      <c r="B10" s="374" t="s">
        <v>1686</v>
      </c>
      <c r="C10" s="3429"/>
      <c r="D10" s="126">
        <v>100</v>
      </c>
      <c r="E10" s="3430"/>
      <c r="F10" s="375">
        <f>SUMIF(65:65,E10,66:66)-SUMIF(65:65,C10,66:66)+100</f>
        <v>100</v>
      </c>
      <c r="G10" s="3429"/>
      <c r="H10" s="126">
        <f>SUMIF(65:65,G10,66:66)-SUMIF(65:65,C10,66:66)+100</f>
        <v>100</v>
      </c>
      <c r="I10" s="3429"/>
      <c r="J10" s="126">
        <f>SUMIF(65:65,I10,66:66)-SUMIF(65:65,C10,66:66)+100</f>
        <v>100</v>
      </c>
      <c r="K10" s="1886"/>
      <c r="L10" s="2714"/>
      <c r="M10" s="2715"/>
      <c r="N10" s="2715"/>
      <c r="O10" s="2715"/>
      <c r="P10" s="3716"/>
      <c r="Q10" s="1338" t="str">
        <f t="shared" si="6"/>
        <v>土地使用年限（年）</v>
      </c>
      <c r="R10" s="699" t="s">
        <v>14</v>
      </c>
      <c r="S10" s="700">
        <f t="shared" si="0"/>
        <v>100</v>
      </c>
      <c r="T10" s="699" t="s">
        <v>14</v>
      </c>
      <c r="U10" s="700">
        <f t="shared" si="1"/>
        <v>100</v>
      </c>
      <c r="V10" s="699" t="s">
        <v>14</v>
      </c>
      <c r="W10" s="700">
        <f t="shared" si="2"/>
        <v>100</v>
      </c>
      <c r="X10" s="701"/>
      <c r="Y10" s="3579"/>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6"/>
      <c r="M11" s="2711"/>
      <c r="N11" s="2711"/>
      <c r="O11" s="2711"/>
      <c r="P11" s="3716"/>
      <c r="Q11" s="1338" t="str">
        <f t="shared" si="6"/>
        <v>容积率</v>
      </c>
      <c r="R11" s="699" t="s">
        <v>18</v>
      </c>
      <c r="S11" s="700" t="e">
        <f t="shared" si="0"/>
        <v>#N/A</v>
      </c>
      <c r="T11" s="699" t="s">
        <v>18</v>
      </c>
      <c r="U11" s="700" t="e">
        <f t="shared" si="1"/>
        <v>#N/A</v>
      </c>
      <c r="V11" s="699" t="s">
        <v>18</v>
      </c>
      <c r="W11" s="700" t="e">
        <f t="shared" si="2"/>
        <v>#N/A</v>
      </c>
      <c r="X11" s="701"/>
      <c r="Y11" s="3579"/>
      <c r="Z11" s="52" t="str">
        <f t="shared" si="7"/>
        <v>容积率</v>
      </c>
      <c r="AA11" s="702" t="e">
        <f t="shared" si="3"/>
        <v>#N/A</v>
      </c>
      <c r="AB11" s="702" t="e">
        <f t="shared" si="4"/>
        <v>#N/A</v>
      </c>
      <c r="AC11" s="702" t="e">
        <f t="shared" si="5"/>
        <v>#N/A</v>
      </c>
    </row>
    <row r="12" spans="1:29" s="108" customFormat="1" ht="15">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12"/>
      <c r="M12" s="2713"/>
      <c r="N12" s="2713"/>
      <c r="O12" s="2713"/>
      <c r="P12" s="3716"/>
      <c r="Q12" s="1338">
        <f t="shared" si="6"/>
        <v>111</v>
      </c>
      <c r="R12" s="699" t="s">
        <v>18</v>
      </c>
      <c r="S12" s="700">
        <f t="shared" si="0"/>
        <v>100</v>
      </c>
      <c r="T12" s="699" t="s">
        <v>18</v>
      </c>
      <c r="U12" s="700">
        <f t="shared" si="1"/>
        <v>100</v>
      </c>
      <c r="V12" s="699" t="s">
        <v>18</v>
      </c>
      <c r="W12" s="700">
        <f t="shared" si="2"/>
        <v>100</v>
      </c>
      <c r="X12" s="701"/>
      <c r="Y12" s="3579"/>
      <c r="Z12" s="52">
        <f t="shared" si="7"/>
        <v>111</v>
      </c>
      <c r="AA12" s="702">
        <f>D12/F12</f>
        <v>1</v>
      </c>
      <c r="AB12" s="702">
        <f>D12/H12</f>
        <v>1</v>
      </c>
      <c r="AC12" s="702">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7"/>
      <c r="M13" s="2711"/>
      <c r="N13" s="2711"/>
      <c r="O13" s="2711"/>
      <c r="P13" s="3716"/>
      <c r="Q13" s="1338">
        <f t="shared" si="6"/>
        <v>111</v>
      </c>
      <c r="R13" s="699" t="s">
        <v>18</v>
      </c>
      <c r="S13" s="700">
        <f t="shared" si="0"/>
        <v>100</v>
      </c>
      <c r="T13" s="699" t="s">
        <v>18</v>
      </c>
      <c r="U13" s="700">
        <f t="shared" si="1"/>
        <v>100</v>
      </c>
      <c r="V13" s="699" t="s">
        <v>18</v>
      </c>
      <c r="W13" s="700">
        <f t="shared" si="2"/>
        <v>100</v>
      </c>
      <c r="X13" s="701"/>
      <c r="Y13" s="3579"/>
      <c r="Z13" s="52">
        <f t="shared" si="7"/>
        <v>111</v>
      </c>
      <c r="AA13" s="702">
        <f t="shared" si="3"/>
        <v>1</v>
      </c>
      <c r="AB13" s="702">
        <f t="shared" si="4"/>
        <v>1</v>
      </c>
      <c r="AC13" s="702">
        <f t="shared" si="5"/>
        <v>1</v>
      </c>
    </row>
    <row r="14" spans="1:29" ht="15.75"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7"/>
      <c r="M14" s="2711"/>
      <c r="N14" s="2711"/>
      <c r="O14" s="2711"/>
      <c r="P14" s="3716"/>
      <c r="Q14" s="1338">
        <f t="shared" si="6"/>
        <v>111</v>
      </c>
      <c r="R14" s="699" t="s">
        <v>18</v>
      </c>
      <c r="S14" s="700">
        <f t="shared" si="0"/>
        <v>100</v>
      </c>
      <c r="T14" s="699" t="s">
        <v>18</v>
      </c>
      <c r="U14" s="700">
        <f t="shared" si="1"/>
        <v>100</v>
      </c>
      <c r="V14" s="699" t="s">
        <v>18</v>
      </c>
      <c r="W14" s="700">
        <f t="shared" si="2"/>
        <v>100</v>
      </c>
      <c r="X14" s="701"/>
      <c r="Y14" s="3579"/>
      <c r="Z14" s="52">
        <f t="shared" si="7"/>
        <v>111</v>
      </c>
      <c r="AA14" s="702">
        <f t="shared" si="3"/>
        <v>1</v>
      </c>
      <c r="AB14" s="702">
        <f t="shared" si="4"/>
        <v>1</v>
      </c>
      <c r="AC14" s="702">
        <f t="shared" si="5"/>
        <v>1</v>
      </c>
    </row>
    <row r="15" spans="1:29" ht="85.5">
      <c r="A15" s="390" t="s">
        <v>1688</v>
      </c>
      <c r="B15" s="61" t="s">
        <v>1256</v>
      </c>
      <c r="C15" s="1891"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7"/>
      <c r="M15" s="2711"/>
      <c r="N15" s="2711"/>
      <c r="O15" s="2711"/>
      <c r="P15" s="3714" t="s">
        <v>1689</v>
      </c>
      <c r="Q15" s="1347" t="str">
        <f t="shared" si="6"/>
        <v>居住社区成熟度</v>
      </c>
      <c r="R15" s="703" t="s">
        <v>18</v>
      </c>
      <c r="S15" s="704">
        <f t="shared" si="0"/>
        <v>100</v>
      </c>
      <c r="T15" s="703" t="s">
        <v>18</v>
      </c>
      <c r="U15" s="704">
        <f t="shared" si="1"/>
        <v>100</v>
      </c>
      <c r="V15" s="703" t="s">
        <v>18</v>
      </c>
      <c r="W15" s="704">
        <f t="shared" si="2"/>
        <v>100</v>
      </c>
      <c r="X15" s="1350"/>
      <c r="Y15" s="3707" t="s">
        <v>1689</v>
      </c>
      <c r="Z15" s="1351" t="str">
        <f t="shared" si="7"/>
        <v>居住社区成熟度</v>
      </c>
      <c r="AA15" s="1348">
        <f t="shared" si="3"/>
        <v>1</v>
      </c>
      <c r="AB15" s="1348">
        <f t="shared" si="4"/>
        <v>1</v>
      </c>
      <c r="AC15" s="1348">
        <f t="shared" si="5"/>
        <v>1</v>
      </c>
    </row>
    <row r="16" spans="1:29" ht="15">
      <c r="A16" s="378"/>
      <c r="B16" s="396"/>
      <c r="C16" s="397"/>
      <c r="D16" s="398"/>
      <c r="E16" s="1892"/>
      <c r="F16" s="398"/>
      <c r="G16" s="1893"/>
      <c r="H16" s="400"/>
      <c r="I16" s="1893"/>
      <c r="J16" s="398"/>
      <c r="K16" s="1894"/>
      <c r="L16" s="2717"/>
      <c r="M16" s="2711"/>
      <c r="N16" s="2711"/>
      <c r="O16" s="2711"/>
      <c r="P16" s="3715"/>
      <c r="Q16" s="1347"/>
      <c r="R16" s="703"/>
      <c r="S16" s="704"/>
      <c r="T16" s="703"/>
      <c r="U16" s="704"/>
      <c r="V16" s="703"/>
      <c r="W16" s="704"/>
      <c r="X16" s="1350"/>
      <c r="Y16" s="3708"/>
      <c r="Z16" s="1351"/>
      <c r="AA16" s="1348">
        <v>1</v>
      </c>
      <c r="AB16" s="1348">
        <v>1</v>
      </c>
      <c r="AC16" s="1348">
        <v>1</v>
      </c>
    </row>
    <row r="17" spans="1:29" ht="71.25">
      <c r="A17" s="378"/>
      <c r="B17" s="401" t="s">
        <v>1258</v>
      </c>
      <c r="C17" s="1895"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7"/>
      <c r="M17" s="2711"/>
      <c r="N17" s="2711"/>
      <c r="O17" s="2711"/>
      <c r="P17" s="3715"/>
      <c r="Q17" s="1347" t="str">
        <f>B17</f>
        <v>交通便捷度</v>
      </c>
      <c r="R17" s="703" t="s">
        <v>18</v>
      </c>
      <c r="S17" s="704">
        <f>F17</f>
        <v>100</v>
      </c>
      <c r="T17" s="703" t="s">
        <v>18</v>
      </c>
      <c r="U17" s="704">
        <f>H17</f>
        <v>100</v>
      </c>
      <c r="V17" s="703" t="s">
        <v>18</v>
      </c>
      <c r="W17" s="704">
        <f>J17</f>
        <v>100</v>
      </c>
      <c r="X17" s="1350"/>
      <c r="Y17" s="3708"/>
      <c r="Z17" s="1351" t="str">
        <f>Q17</f>
        <v>交通便捷度</v>
      </c>
      <c r="AA17" s="1348">
        <f t="shared" si="3"/>
        <v>1</v>
      </c>
      <c r="AB17" s="1348">
        <f t="shared" si="4"/>
        <v>1</v>
      </c>
      <c r="AC17" s="1348">
        <f t="shared" si="5"/>
        <v>1</v>
      </c>
    </row>
    <row r="18" spans="1:29" ht="15">
      <c r="A18" s="378"/>
      <c r="B18" s="406"/>
      <c r="C18" s="1896"/>
      <c r="D18" s="400"/>
      <c r="E18" s="1897"/>
      <c r="F18" s="400"/>
      <c r="G18" s="1898"/>
      <c r="H18" s="398"/>
      <c r="I18" s="1898"/>
      <c r="J18" s="398"/>
      <c r="K18" s="1894"/>
      <c r="L18" s="2717"/>
      <c r="M18" s="2711"/>
      <c r="N18" s="2711"/>
      <c r="O18" s="2711"/>
      <c r="P18" s="3715"/>
      <c r="Q18" s="1347"/>
      <c r="R18" s="703"/>
      <c r="S18" s="704"/>
      <c r="T18" s="703"/>
      <c r="U18" s="704"/>
      <c r="V18" s="703"/>
      <c r="W18" s="704"/>
      <c r="X18" s="1350"/>
      <c r="Y18" s="3708"/>
      <c r="Z18" s="1351"/>
      <c r="AA18" s="1348">
        <v>1</v>
      </c>
      <c r="AB18" s="1348">
        <v>1</v>
      </c>
      <c r="AC18" s="1348">
        <v>1</v>
      </c>
    </row>
    <row r="19" spans="1:29" ht="42.75">
      <c r="A19" s="378"/>
      <c r="B19" s="401" t="s">
        <v>1257</v>
      </c>
      <c r="C19" s="1895"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7"/>
      <c r="M19" s="2711"/>
      <c r="N19" s="2711"/>
      <c r="O19" s="2711"/>
      <c r="P19" s="3715"/>
      <c r="Q19" s="1347" t="str">
        <f>B19</f>
        <v>公共配套设施</v>
      </c>
      <c r="R19" s="703" t="s">
        <v>18</v>
      </c>
      <c r="S19" s="704">
        <f>F19</f>
        <v>100</v>
      </c>
      <c r="T19" s="703" t="s">
        <v>18</v>
      </c>
      <c r="U19" s="704">
        <f>H19</f>
        <v>100</v>
      </c>
      <c r="V19" s="703" t="s">
        <v>18</v>
      </c>
      <c r="W19" s="704">
        <f>J19</f>
        <v>100</v>
      </c>
      <c r="X19" s="1350"/>
      <c r="Y19" s="3708"/>
      <c r="Z19" s="1351" t="str">
        <f>Q19</f>
        <v>公共配套设施</v>
      </c>
      <c r="AA19" s="1348">
        <f t="shared" si="3"/>
        <v>1</v>
      </c>
      <c r="AB19" s="1348">
        <f t="shared" si="4"/>
        <v>1</v>
      </c>
      <c r="AC19" s="1348">
        <f t="shared" si="5"/>
        <v>1</v>
      </c>
    </row>
    <row r="20" spans="1:29" ht="15">
      <c r="A20" s="378"/>
      <c r="B20" s="406"/>
      <c r="C20" s="397"/>
      <c r="D20" s="398"/>
      <c r="E20" s="1892"/>
      <c r="F20" s="398"/>
      <c r="G20" s="1893"/>
      <c r="H20" s="398"/>
      <c r="I20" s="1893"/>
      <c r="J20" s="398"/>
      <c r="K20" s="1894"/>
      <c r="L20" s="2717"/>
      <c r="M20" s="2711"/>
      <c r="N20" s="2711"/>
      <c r="O20" s="2711"/>
      <c r="P20" s="3715"/>
      <c r="Q20" s="1347"/>
      <c r="R20" s="703"/>
      <c r="S20" s="704"/>
      <c r="T20" s="703"/>
      <c r="U20" s="704"/>
      <c r="V20" s="703"/>
      <c r="W20" s="704"/>
      <c r="X20" s="1350"/>
      <c r="Y20" s="3708"/>
      <c r="Z20" s="1351"/>
      <c r="AA20" s="1348">
        <v>1</v>
      </c>
      <c r="AB20" s="1348">
        <v>1</v>
      </c>
      <c r="AC20" s="1348">
        <v>1</v>
      </c>
    </row>
    <row r="21" spans="1:29" ht="28.5">
      <c r="A21" s="378"/>
      <c r="B21" s="1127" t="s">
        <v>1259</v>
      </c>
      <c r="C21" s="1895"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7"/>
      <c r="M21" s="2711"/>
      <c r="N21" s="2711"/>
      <c r="O21" s="2711"/>
      <c r="P21" s="3715"/>
      <c r="Q21" s="1347" t="str">
        <f>B21</f>
        <v>基础设施水平</v>
      </c>
      <c r="R21" s="703" t="s">
        <v>14</v>
      </c>
      <c r="S21" s="704">
        <f>F21</f>
        <v>100</v>
      </c>
      <c r="T21" s="703" t="s">
        <v>14</v>
      </c>
      <c r="U21" s="704">
        <f>H21</f>
        <v>100</v>
      </c>
      <c r="V21" s="703" t="s">
        <v>14</v>
      </c>
      <c r="W21" s="704">
        <f>J21</f>
        <v>100</v>
      </c>
      <c r="X21" s="1350"/>
      <c r="Y21" s="3708"/>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8"/>
      <c r="G22" s="1899"/>
      <c r="H22" s="398"/>
      <c r="I22" s="397"/>
      <c r="J22" s="398"/>
      <c r="K22" s="1900"/>
      <c r="L22" s="2717"/>
      <c r="M22" s="2711"/>
      <c r="N22" s="2711"/>
      <c r="O22" s="2711"/>
      <c r="P22" s="3715"/>
      <c r="Q22" s="1347"/>
      <c r="R22" s="703"/>
      <c r="S22" s="704"/>
      <c r="T22" s="703"/>
      <c r="U22" s="704"/>
      <c r="V22" s="703"/>
      <c r="W22" s="704"/>
      <c r="X22" s="1350"/>
      <c r="Y22" s="3708"/>
      <c r="Z22" s="1351"/>
      <c r="AA22" s="1348">
        <v>1</v>
      </c>
      <c r="AB22" s="1348">
        <v>1</v>
      </c>
      <c r="AC22" s="1348">
        <v>1</v>
      </c>
    </row>
    <row r="23" spans="1:29" ht="42.75">
      <c r="A23" s="378"/>
      <c r="B23" s="401" t="s">
        <v>1260</v>
      </c>
      <c r="C23" s="1895"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7"/>
      <c r="M23" s="2711"/>
      <c r="N23" s="2711"/>
      <c r="O23" s="2711"/>
      <c r="P23" s="3715"/>
      <c r="Q23" s="1347" t="str">
        <f>B23</f>
        <v>自然及人文环境</v>
      </c>
      <c r="R23" s="703" t="s">
        <v>18</v>
      </c>
      <c r="S23" s="704">
        <f>F23</f>
        <v>100</v>
      </c>
      <c r="T23" s="703" t="s">
        <v>18</v>
      </c>
      <c r="U23" s="704">
        <f>H23</f>
        <v>100</v>
      </c>
      <c r="V23" s="703" t="s">
        <v>18</v>
      </c>
      <c r="W23" s="704">
        <f>J23</f>
        <v>100</v>
      </c>
      <c r="X23" s="1350"/>
      <c r="Y23" s="3708"/>
      <c r="Z23" s="1351" t="str">
        <f>Q23</f>
        <v>自然及人文环境</v>
      </c>
      <c r="AA23" s="1348">
        <f>D23/F23</f>
        <v>1</v>
      </c>
      <c r="AB23" s="1348">
        <f>D23/H23</f>
        <v>1</v>
      </c>
      <c r="AC23" s="1348">
        <f>D23/J23</f>
        <v>1</v>
      </c>
    </row>
    <row r="24" spans="1:29" ht="15">
      <c r="A24" s="378"/>
      <c r="B24" s="406"/>
      <c r="C24" s="397"/>
      <c r="D24" s="398"/>
      <c r="E24" s="1892"/>
      <c r="F24" s="398"/>
      <c r="G24" s="1893"/>
      <c r="H24" s="398"/>
      <c r="I24" s="1893"/>
      <c r="J24" s="398"/>
      <c r="K24" s="1894"/>
      <c r="L24" s="2717"/>
      <c r="M24" s="2711"/>
      <c r="N24" s="2711"/>
      <c r="O24" s="2711"/>
      <c r="P24" s="3715"/>
      <c r="Q24" s="1347"/>
      <c r="R24" s="703"/>
      <c r="S24" s="704"/>
      <c r="T24" s="703"/>
      <c r="U24" s="704"/>
      <c r="V24" s="703"/>
      <c r="W24" s="704"/>
      <c r="X24" s="1350"/>
      <c r="Y24" s="3708"/>
      <c r="Z24" s="1351"/>
      <c r="AA24" s="1348">
        <v>1</v>
      </c>
      <c r="AB24" s="1348">
        <v>1</v>
      </c>
      <c r="AC24" s="1348">
        <v>1</v>
      </c>
    </row>
    <row r="25" spans="1:29" ht="15">
      <c r="A25" s="378"/>
      <c r="B25" s="374" t="s">
        <v>1690</v>
      </c>
      <c r="C25" s="410"/>
      <c r="D25" s="385">
        <v>100</v>
      </c>
      <c r="E25" s="1901"/>
      <c r="F25" s="385">
        <f>SUMIF(86:86,E25,87:87)-SUMIF(86:86,C25,87:87)+100</f>
        <v>100</v>
      </c>
      <c r="G25" s="1902"/>
      <c r="H25" s="385">
        <f>SUMIF(86:86,G25,87:87)-SUMIF(86:86,C25,87:87)+100</f>
        <v>100</v>
      </c>
      <c r="I25" s="1902"/>
      <c r="J25" s="385">
        <f>SUMIF(86:86,I25,87:87)-SUMIF(86:86,C25,87:87)+100</f>
        <v>100</v>
      </c>
      <c r="K25" s="376"/>
      <c r="L25" s="2717"/>
      <c r="M25" s="2711"/>
      <c r="N25" s="2711"/>
      <c r="O25" s="2711"/>
      <c r="P25" s="3715"/>
      <c r="Q25" s="1347" t="str">
        <f t="shared" ref="Q25:Q46" si="11">B25</f>
        <v>楼层-1</v>
      </c>
      <c r="R25" s="703" t="s">
        <v>18</v>
      </c>
      <c r="S25" s="704">
        <f t="shared" ref="S25:S46" si="12">F25</f>
        <v>100</v>
      </c>
      <c r="T25" s="703" t="s">
        <v>18</v>
      </c>
      <c r="U25" s="704">
        <f t="shared" ref="U25:U46" si="13">H25</f>
        <v>100</v>
      </c>
      <c r="V25" s="703" t="s">
        <v>18</v>
      </c>
      <c r="W25" s="704">
        <f t="shared" ref="W25:W46" si="14">J25</f>
        <v>100</v>
      </c>
      <c r="X25" s="1350"/>
      <c r="Y25" s="3708"/>
      <c r="Z25" s="1351" t="str">
        <f>Q25</f>
        <v>楼层-1</v>
      </c>
      <c r="AA25" s="1348">
        <f t="shared" ref="AA25:AA46" si="15">D25/F25</f>
        <v>1</v>
      </c>
      <c r="AB25" s="1348">
        <f t="shared" ref="AB25:AB46" si="16">D25/H25</f>
        <v>1</v>
      </c>
      <c r="AC25" s="1348">
        <f t="shared" ref="AC25:AC46" si="17">D25/J25</f>
        <v>1</v>
      </c>
    </row>
    <row r="26" spans="1:29" ht="15">
      <c r="A26" s="378"/>
      <c r="B26" s="374" t="s">
        <v>1691</v>
      </c>
      <c r="C26" s="410"/>
      <c r="D26" s="385">
        <v>100</v>
      </c>
      <c r="E26" s="1901"/>
      <c r="F26" s="385">
        <f>SUMIF(88:88,E26,89:89)-SUMIF(88:88,C26,89:89)+100</f>
        <v>100</v>
      </c>
      <c r="G26" s="1902"/>
      <c r="H26" s="385">
        <f>SUMIF(88:88,G26,89:89)-SUMIF(88:88,C26,89:89)+100</f>
        <v>100</v>
      </c>
      <c r="I26" s="1902"/>
      <c r="J26" s="385">
        <f>SUMIF(88:88,I26,89:89)-SUMIF(88:88,C26,89:89)+100</f>
        <v>100</v>
      </c>
      <c r="K26" s="376"/>
      <c r="L26" s="2717"/>
      <c r="M26" s="2711"/>
      <c r="N26" s="2711"/>
      <c r="O26" s="2711"/>
      <c r="P26" s="3715"/>
      <c r="Q26" s="1347" t="str">
        <f t="shared" si="11"/>
        <v>朝向</v>
      </c>
      <c r="R26" s="703" t="s">
        <v>18</v>
      </c>
      <c r="S26" s="704">
        <f t="shared" si="12"/>
        <v>100</v>
      </c>
      <c r="T26" s="703" t="s">
        <v>18</v>
      </c>
      <c r="U26" s="704">
        <f t="shared" si="13"/>
        <v>100</v>
      </c>
      <c r="V26" s="703" t="s">
        <v>18</v>
      </c>
      <c r="W26" s="704">
        <f t="shared" si="14"/>
        <v>100</v>
      </c>
      <c r="X26" s="1350"/>
      <c r="Y26" s="3708"/>
      <c r="Z26" s="1351" t="str">
        <f>Q26</f>
        <v>朝向</v>
      </c>
      <c r="AA26" s="1348">
        <f t="shared" si="15"/>
        <v>1</v>
      </c>
      <c r="AB26" s="1348">
        <f t="shared" si="16"/>
        <v>1</v>
      </c>
      <c r="AC26" s="1348">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89"/>
      <c r="L27" s="2712"/>
      <c r="M27" s="2713"/>
      <c r="N27" s="2713"/>
      <c r="O27" s="2713"/>
      <c r="P27" s="3715"/>
      <c r="Q27" s="1338">
        <f t="shared" si="11"/>
        <v>111</v>
      </c>
      <c r="R27" s="699" t="s">
        <v>18</v>
      </c>
      <c r="S27" s="700">
        <f t="shared" si="12"/>
        <v>100</v>
      </c>
      <c r="T27" s="699" t="s">
        <v>18</v>
      </c>
      <c r="U27" s="700">
        <f t="shared" si="13"/>
        <v>100</v>
      </c>
      <c r="V27" s="699" t="s">
        <v>18</v>
      </c>
      <c r="W27" s="700">
        <f t="shared" si="14"/>
        <v>100</v>
      </c>
      <c r="X27" s="701"/>
      <c r="Y27" s="3708"/>
      <c r="Z27" s="52">
        <f>Q27</f>
        <v>111</v>
      </c>
      <c r="AA27" s="1348">
        <f t="shared" si="15"/>
        <v>1</v>
      </c>
      <c r="AB27" s="1348">
        <f t="shared" si="16"/>
        <v>1</v>
      </c>
      <c r="AC27" s="1348">
        <f t="shared" si="17"/>
        <v>1</v>
      </c>
    </row>
    <row r="28" spans="1:29" ht="15">
      <c r="A28" s="378"/>
      <c r="B28" s="1129">
        <v>111</v>
      </c>
      <c r="C28" s="384"/>
      <c r="D28" s="385">
        <v>100</v>
      </c>
      <c r="E28" s="384"/>
      <c r="F28" s="385">
        <f>SUMIF(92:92,E28,93:93)-SUMIF(92:92,C28,93:93)+100</f>
        <v>100</v>
      </c>
      <c r="G28" s="1903"/>
      <c r="H28" s="385">
        <f>SUMIF(92:92,G28,93:93)-SUMIF(92:92,C28,93:93)+100</f>
        <v>100</v>
      </c>
      <c r="I28" s="384"/>
      <c r="J28" s="385">
        <f>SUMIF(92:92,I28,93:93)-SUMIF(92:92,C28,93:93)+100</f>
        <v>100</v>
      </c>
      <c r="K28" s="1889"/>
      <c r="L28" s="2717"/>
      <c r="M28" s="2711"/>
      <c r="N28" s="2711"/>
      <c r="O28" s="2711"/>
      <c r="P28" s="3715"/>
      <c r="Q28" s="1347">
        <f t="shared" si="11"/>
        <v>111</v>
      </c>
      <c r="R28" s="703" t="s">
        <v>18</v>
      </c>
      <c r="S28" s="704">
        <f t="shared" si="12"/>
        <v>100</v>
      </c>
      <c r="T28" s="703" t="s">
        <v>18</v>
      </c>
      <c r="U28" s="704">
        <f t="shared" si="13"/>
        <v>100</v>
      </c>
      <c r="V28" s="703" t="s">
        <v>18</v>
      </c>
      <c r="W28" s="704">
        <f t="shared" si="14"/>
        <v>100</v>
      </c>
      <c r="X28" s="1350"/>
      <c r="Y28" s="3708"/>
      <c r="Z28" s="1351">
        <f t="shared" ref="Z28:Z46" si="18">Q28</f>
        <v>111</v>
      </c>
      <c r="AA28" s="1348">
        <f t="shared" si="15"/>
        <v>1</v>
      </c>
      <c r="AB28" s="1348">
        <f t="shared" si="16"/>
        <v>1</v>
      </c>
      <c r="AC28" s="1348">
        <f t="shared" si="17"/>
        <v>1</v>
      </c>
    </row>
    <row r="29" spans="1:29" ht="15">
      <c r="A29" s="378"/>
      <c r="B29" s="1129">
        <v>111</v>
      </c>
      <c r="C29" s="384"/>
      <c r="D29" s="385">
        <v>100</v>
      </c>
      <c r="E29" s="384"/>
      <c r="F29" s="385">
        <f>SUMIF(94:94,E29,95:95)-SUMIF(94:94,C29,95:95)+100</f>
        <v>100</v>
      </c>
      <c r="G29" s="1903"/>
      <c r="H29" s="385">
        <f>SUMIF(94:94,G29,95:95)-SUMIF(94:94,C29,95:95)+100</f>
        <v>100</v>
      </c>
      <c r="I29" s="384"/>
      <c r="J29" s="385">
        <f>SUMIF(94:94,I29,95:95)-SUMIF(94:94,C29,95:95)+100</f>
        <v>100</v>
      </c>
      <c r="K29" s="1889"/>
      <c r="L29" s="2717"/>
      <c r="M29" s="2711"/>
      <c r="N29" s="2711"/>
      <c r="O29" s="2711"/>
      <c r="P29" s="3715"/>
      <c r="Q29" s="1347">
        <f t="shared" si="11"/>
        <v>111</v>
      </c>
      <c r="R29" s="703" t="s">
        <v>18</v>
      </c>
      <c r="S29" s="704">
        <f t="shared" si="12"/>
        <v>100</v>
      </c>
      <c r="T29" s="703" t="s">
        <v>18</v>
      </c>
      <c r="U29" s="704">
        <f t="shared" si="13"/>
        <v>100</v>
      </c>
      <c r="V29" s="703" t="s">
        <v>18</v>
      </c>
      <c r="W29" s="704">
        <f t="shared" si="14"/>
        <v>100</v>
      </c>
      <c r="X29" s="1350"/>
      <c r="Y29" s="3708"/>
      <c r="Z29" s="1351">
        <f t="shared" si="18"/>
        <v>111</v>
      </c>
      <c r="AA29" s="1348">
        <f t="shared" si="15"/>
        <v>1</v>
      </c>
      <c r="AB29" s="1348">
        <f t="shared" si="16"/>
        <v>1</v>
      </c>
      <c r="AC29" s="1348">
        <f t="shared" si="17"/>
        <v>1</v>
      </c>
    </row>
    <row r="30" spans="1:29" ht="15">
      <c r="A30" s="378"/>
      <c r="B30" s="1129">
        <v>111</v>
      </c>
      <c r="C30" s="384"/>
      <c r="D30" s="385">
        <v>100</v>
      </c>
      <c r="E30" s="384"/>
      <c r="F30" s="385">
        <f>SUMIF(96:96,E30,97:97)-SUMIF(96:96,C30,97:97)+100</f>
        <v>100</v>
      </c>
      <c r="G30" s="1903"/>
      <c r="H30" s="385">
        <f>SUMIF(96:96,G30,97:97)-SUMIF(96:96,C30,97:97)+100</f>
        <v>100</v>
      </c>
      <c r="I30" s="384"/>
      <c r="J30" s="385">
        <f>SUMIF(96:96,I30,97:97)-SUMIF(96:96,C30,97:97)+100</f>
        <v>100</v>
      </c>
      <c r="K30" s="1889"/>
      <c r="L30" s="2717"/>
      <c r="M30" s="2711"/>
      <c r="N30" s="2711"/>
      <c r="O30" s="2711"/>
      <c r="P30" s="3715"/>
      <c r="Q30" s="1347">
        <f t="shared" si="11"/>
        <v>111</v>
      </c>
      <c r="R30" s="703" t="s">
        <v>18</v>
      </c>
      <c r="S30" s="704">
        <f t="shared" si="12"/>
        <v>100</v>
      </c>
      <c r="T30" s="703" t="s">
        <v>18</v>
      </c>
      <c r="U30" s="704">
        <f t="shared" si="13"/>
        <v>100</v>
      </c>
      <c r="V30" s="703" t="s">
        <v>18</v>
      </c>
      <c r="W30" s="704">
        <f t="shared" si="14"/>
        <v>100</v>
      </c>
      <c r="X30" s="1350"/>
      <c r="Y30" s="3708"/>
      <c r="Z30" s="1351">
        <f t="shared" si="18"/>
        <v>111</v>
      </c>
      <c r="AA30" s="1348">
        <f t="shared" si="15"/>
        <v>1</v>
      </c>
      <c r="AB30" s="1348">
        <f t="shared" si="16"/>
        <v>1</v>
      </c>
      <c r="AC30" s="1348">
        <f t="shared" si="17"/>
        <v>1</v>
      </c>
    </row>
    <row r="31" spans="1:29" ht="15.75" thickBot="1">
      <c r="A31" s="386"/>
      <c r="B31" s="1129">
        <v>111</v>
      </c>
      <c r="C31" s="387"/>
      <c r="D31" s="388">
        <v>100</v>
      </c>
      <c r="E31" s="387"/>
      <c r="F31" s="388">
        <f>SUMIF(98:98,E31,99:99)-SUMIF(98:98,C31,99:99)+100</f>
        <v>100</v>
      </c>
      <c r="G31" s="1904"/>
      <c r="H31" s="388">
        <f>SUMIF(98:98,G31,99:99)-SUMIF(98:98,C31,99:99)+100</f>
        <v>100</v>
      </c>
      <c r="I31" s="387"/>
      <c r="J31" s="388">
        <f>SUMIF(98:98,I31,99:99)-SUMIF(98:98,C31,99:99)+100</f>
        <v>100</v>
      </c>
      <c r="K31" s="1889"/>
      <c r="L31" s="2717"/>
      <c r="M31" s="2711"/>
      <c r="N31" s="2711"/>
      <c r="O31" s="2711"/>
      <c r="P31" s="3715"/>
      <c r="Q31" s="1347">
        <f t="shared" si="11"/>
        <v>111</v>
      </c>
      <c r="R31" s="703" t="s">
        <v>18</v>
      </c>
      <c r="S31" s="704">
        <f t="shared" si="12"/>
        <v>100</v>
      </c>
      <c r="T31" s="703" t="s">
        <v>18</v>
      </c>
      <c r="U31" s="704">
        <f t="shared" si="13"/>
        <v>100</v>
      </c>
      <c r="V31" s="703" t="s">
        <v>18</v>
      </c>
      <c r="W31" s="704">
        <f t="shared" si="14"/>
        <v>100</v>
      </c>
      <c r="X31" s="1350"/>
      <c r="Y31" s="3708"/>
      <c r="Z31" s="1351">
        <f t="shared" si="18"/>
        <v>111</v>
      </c>
      <c r="AA31" s="1348">
        <f t="shared" si="15"/>
        <v>1</v>
      </c>
      <c r="AB31" s="1348">
        <f t="shared" si="16"/>
        <v>1</v>
      </c>
      <c r="AC31" s="1348">
        <f t="shared" si="17"/>
        <v>1</v>
      </c>
    </row>
    <row r="32" spans="1:29" ht="15">
      <c r="A32" s="390" t="s">
        <v>1692</v>
      </c>
      <c r="B32" s="63" t="s">
        <v>1693</v>
      </c>
      <c r="C32" s="1905"/>
      <c r="D32" s="417">
        <v>100</v>
      </c>
      <c r="E32" s="1906"/>
      <c r="F32" s="411">
        <f>SUMIF(100:100,E32,101:101)-SUMIF(100:100,C32,101:101)+100</f>
        <v>100</v>
      </c>
      <c r="G32" s="1905"/>
      <c r="H32" s="417">
        <f>SUMIF(100:100,G32,101:101)-SUMIF(100:100,C32,101:101)+100</f>
        <v>100</v>
      </c>
      <c r="I32" s="1906"/>
      <c r="J32" s="385">
        <f>SUMIF(100:100,I32,101:101)-SUMIF(100:100,C32,101:101)+100</f>
        <v>100</v>
      </c>
      <c r="K32" s="376"/>
      <c r="L32" s="2717"/>
      <c r="M32" s="2711"/>
      <c r="N32" s="2711"/>
      <c r="O32" s="2711"/>
      <c r="P32" s="3709" t="s">
        <v>1694</v>
      </c>
      <c r="Q32" s="1347" t="str">
        <f t="shared" si="11"/>
        <v>建筑类型</v>
      </c>
      <c r="R32" s="703" t="s">
        <v>18</v>
      </c>
      <c r="S32" s="704">
        <f t="shared" si="12"/>
        <v>100</v>
      </c>
      <c r="T32" s="703" t="s">
        <v>18</v>
      </c>
      <c r="U32" s="704">
        <f t="shared" si="13"/>
        <v>100</v>
      </c>
      <c r="V32" s="703" t="s">
        <v>18</v>
      </c>
      <c r="W32" s="704">
        <f t="shared" si="14"/>
        <v>100</v>
      </c>
      <c r="X32" s="1350"/>
      <c r="Y32" s="3712" t="s">
        <v>1694</v>
      </c>
      <c r="Z32" s="1351" t="str">
        <f t="shared" si="18"/>
        <v>建筑类型</v>
      </c>
      <c r="AA32" s="1348">
        <f t="shared" si="15"/>
        <v>1</v>
      </c>
      <c r="AB32" s="1348">
        <f t="shared" si="16"/>
        <v>1</v>
      </c>
      <c r="AC32" s="1348">
        <f t="shared" si="17"/>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9"/>
      <c r="L33" s="2716"/>
      <c r="M33" s="2718"/>
      <c r="N33" s="2718"/>
      <c r="O33" s="2718"/>
      <c r="P33" s="3710"/>
      <c r="Q33" s="705" t="str">
        <f t="shared" si="11"/>
        <v>项目建筑规模</v>
      </c>
      <c r="R33" s="706" t="s">
        <v>18</v>
      </c>
      <c r="S33" s="707" t="e">
        <f t="shared" si="12"/>
        <v>#N/A</v>
      </c>
      <c r="T33" s="706" t="s">
        <v>18</v>
      </c>
      <c r="U33" s="707" t="e">
        <f t="shared" si="13"/>
        <v>#N/A</v>
      </c>
      <c r="V33" s="706" t="s">
        <v>18</v>
      </c>
      <c r="W33" s="707" t="e">
        <f t="shared" si="14"/>
        <v>#N/A</v>
      </c>
      <c r="X33" s="708"/>
      <c r="Y33" s="3712"/>
      <c r="Z33" s="709" t="str">
        <f t="shared" si="18"/>
        <v>项目建筑规模</v>
      </c>
      <c r="AA33" s="1348" t="e">
        <f t="shared" si="15"/>
        <v>#N/A</v>
      </c>
      <c r="AB33" s="1348" t="e">
        <f t="shared" si="16"/>
        <v>#N/A</v>
      </c>
      <c r="AC33" s="1348" t="e">
        <f t="shared" si="17"/>
        <v>#N/A</v>
      </c>
    </row>
    <row r="34" spans="1:29" ht="15">
      <c r="A34" s="422"/>
      <c r="B34" s="374" t="s">
        <v>1696</v>
      </c>
      <c r="C34" s="1907"/>
      <c r="D34" s="385">
        <v>100</v>
      </c>
      <c r="E34" s="1908"/>
      <c r="F34" s="411">
        <f>SUMIF(105:105,E34,106:106)-SUMIF(105:105,C34,106:106)+100</f>
        <v>100</v>
      </c>
      <c r="G34" s="1907"/>
      <c r="H34" s="385">
        <f>SUMIF(105:105,G34,106:106)-SUMIF(105:105,C34,106:106)+100</f>
        <v>100</v>
      </c>
      <c r="I34" s="1908"/>
      <c r="J34" s="385">
        <f>SUMIF(105:105,I34,106:106)-SUMIF(105:105,C34,106:106)+100</f>
        <v>100</v>
      </c>
      <c r="K34" s="376"/>
      <c r="L34" s="2717"/>
      <c r="M34" s="2711"/>
      <c r="N34" s="2711"/>
      <c r="O34" s="2711"/>
      <c r="P34" s="3710"/>
      <c r="Q34" s="1347" t="str">
        <f t="shared" si="11"/>
        <v>建筑结构</v>
      </c>
      <c r="R34" s="703" t="s">
        <v>18</v>
      </c>
      <c r="S34" s="704">
        <f t="shared" si="12"/>
        <v>100</v>
      </c>
      <c r="T34" s="703" t="s">
        <v>18</v>
      </c>
      <c r="U34" s="704">
        <f t="shared" si="13"/>
        <v>100</v>
      </c>
      <c r="V34" s="703" t="s">
        <v>18</v>
      </c>
      <c r="W34" s="704">
        <f t="shared" si="14"/>
        <v>100</v>
      </c>
      <c r="X34" s="1350"/>
      <c r="Y34" s="3712"/>
      <c r="Z34" s="1351" t="str">
        <f t="shared" si="18"/>
        <v>建筑结构</v>
      </c>
      <c r="AA34" s="1348">
        <f t="shared" si="15"/>
        <v>1</v>
      </c>
      <c r="AB34" s="1348">
        <f t="shared" si="16"/>
        <v>1</v>
      </c>
      <c r="AC34" s="1348">
        <f t="shared" si="17"/>
        <v>1</v>
      </c>
    </row>
    <row r="35" spans="1:29" ht="15">
      <c r="A35" s="422"/>
      <c r="B35" s="374" t="s">
        <v>1697</v>
      </c>
      <c r="C35" s="1901"/>
      <c r="D35" s="385">
        <v>100</v>
      </c>
      <c r="E35" s="1902"/>
      <c r="F35" s="411">
        <f>SUMIF(107:107,E35,108:108)-SUMIF(107:107,C35,108:108)+100</f>
        <v>100</v>
      </c>
      <c r="G35" s="1901"/>
      <c r="H35" s="385">
        <f>SUMIF(107:107,G35,108:108)-SUMIF(107:107,C35,108:108)+100</f>
        <v>100</v>
      </c>
      <c r="I35" s="1902"/>
      <c r="J35" s="385">
        <f>SUMIF(107:107,I35,108:108)-SUMIF(107:107,C35,108:108)+100</f>
        <v>100</v>
      </c>
      <c r="K35" s="376"/>
      <c r="L35" s="2717"/>
      <c r="M35" s="2711"/>
      <c r="N35" s="2711"/>
      <c r="O35" s="2711"/>
      <c r="P35" s="3710"/>
      <c r="Q35" s="1347" t="str">
        <f t="shared" si="11"/>
        <v>建筑品质</v>
      </c>
      <c r="R35" s="703" t="s">
        <v>18</v>
      </c>
      <c r="S35" s="704">
        <f t="shared" si="12"/>
        <v>100</v>
      </c>
      <c r="T35" s="703" t="s">
        <v>18</v>
      </c>
      <c r="U35" s="704">
        <f t="shared" si="13"/>
        <v>100</v>
      </c>
      <c r="V35" s="703" t="s">
        <v>18</v>
      </c>
      <c r="W35" s="704">
        <f t="shared" si="14"/>
        <v>100</v>
      </c>
      <c r="X35" s="1350"/>
      <c r="Y35" s="3712"/>
      <c r="Z35" s="1351" t="str">
        <f t="shared" si="18"/>
        <v>建筑品质</v>
      </c>
      <c r="AA35" s="1348">
        <f t="shared" si="15"/>
        <v>1</v>
      </c>
      <c r="AB35" s="1348">
        <f t="shared" si="16"/>
        <v>1</v>
      </c>
      <c r="AC35" s="1348">
        <f t="shared" si="17"/>
        <v>1</v>
      </c>
    </row>
    <row r="36" spans="1:29" ht="15">
      <c r="A36" s="422"/>
      <c r="B36" s="374" t="s">
        <v>1698</v>
      </c>
      <c r="C36" s="1901"/>
      <c r="D36" s="385">
        <v>100</v>
      </c>
      <c r="E36" s="1902"/>
      <c r="F36" s="411">
        <f>SUMIF(109:109,E36,110:110)-SUMIF(109:109,C36,110:110)+100</f>
        <v>100</v>
      </c>
      <c r="G36" s="1901"/>
      <c r="H36" s="385">
        <f>SUMIF(109:109,G36,110:110)-SUMIF(109:109,C36,110:110)+100</f>
        <v>100</v>
      </c>
      <c r="I36" s="1902"/>
      <c r="J36" s="385">
        <f>SUMIF(109:109,I36,110:110)-SUMIF(109:109,C36,110:110)+100</f>
        <v>100</v>
      </c>
      <c r="K36" s="376"/>
      <c r="L36" s="2717"/>
      <c r="M36" s="2711"/>
      <c r="N36" s="2711"/>
      <c r="O36" s="2711"/>
      <c r="P36" s="3710"/>
      <c r="Q36" s="1347" t="str">
        <f t="shared" si="11"/>
        <v>公共部分装修</v>
      </c>
      <c r="R36" s="703" t="s">
        <v>18</v>
      </c>
      <c r="S36" s="704">
        <f t="shared" si="12"/>
        <v>100</v>
      </c>
      <c r="T36" s="703" t="s">
        <v>18</v>
      </c>
      <c r="U36" s="704">
        <f t="shared" si="13"/>
        <v>100</v>
      </c>
      <c r="V36" s="703" t="s">
        <v>18</v>
      </c>
      <c r="W36" s="704">
        <f t="shared" si="14"/>
        <v>100</v>
      </c>
      <c r="X36" s="1350"/>
      <c r="Y36" s="3712"/>
      <c r="Z36" s="1351" t="str">
        <f t="shared" si="18"/>
        <v>公共部分装修</v>
      </c>
      <c r="AA36" s="1348">
        <f t="shared" si="15"/>
        <v>1</v>
      </c>
      <c r="AB36" s="1348">
        <f t="shared" si="16"/>
        <v>1</v>
      </c>
      <c r="AC36" s="1348">
        <f t="shared" si="17"/>
        <v>1</v>
      </c>
    </row>
    <row r="37" spans="1:29" s="108" customFormat="1" ht="15">
      <c r="A37" s="423"/>
      <c r="B37" s="374" t="s">
        <v>1699</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2"/>
      <c r="M37" s="2713"/>
      <c r="N37" s="2713"/>
      <c r="O37" s="2713"/>
      <c r="P37" s="3710"/>
      <c r="Q37" s="1338" t="str">
        <f t="shared" si="11"/>
        <v>成新度</v>
      </c>
      <c r="R37" s="699" t="s">
        <v>18</v>
      </c>
      <c r="S37" s="700" t="e">
        <f t="shared" si="12"/>
        <v>#N/A</v>
      </c>
      <c r="T37" s="699" t="s">
        <v>18</v>
      </c>
      <c r="U37" s="700" t="e">
        <f t="shared" si="13"/>
        <v>#N/A</v>
      </c>
      <c r="V37" s="699" t="s">
        <v>18</v>
      </c>
      <c r="W37" s="700" t="e">
        <f t="shared" si="14"/>
        <v>#N/A</v>
      </c>
      <c r="X37" s="701"/>
      <c r="Y37" s="3712"/>
      <c r="Z37" s="52" t="str">
        <f t="shared" si="18"/>
        <v>成新度</v>
      </c>
      <c r="AA37" s="702" t="e">
        <f t="shared" si="15"/>
        <v>#N/A</v>
      </c>
      <c r="AB37" s="702" t="e">
        <f t="shared" si="16"/>
        <v>#N/A</v>
      </c>
      <c r="AC37" s="702" t="e">
        <f t="shared" si="17"/>
        <v>#N/A</v>
      </c>
    </row>
    <row r="38" spans="1:29" ht="15">
      <c r="A38" s="422"/>
      <c r="B38" s="374" t="s">
        <v>1700</v>
      </c>
      <c r="C38" s="1901"/>
      <c r="D38" s="385">
        <v>100</v>
      </c>
      <c r="E38" s="1902"/>
      <c r="F38" s="411">
        <f>SUMIF(114:114,E38,115:115)-SUMIF(114:114,C38,115:115)+100</f>
        <v>100</v>
      </c>
      <c r="G38" s="1901"/>
      <c r="H38" s="385">
        <f>SUMIF(114:114,G38,115:115)-SUMIF(114:114,C38,115:115)+100</f>
        <v>100</v>
      </c>
      <c r="I38" s="1902"/>
      <c r="J38" s="385">
        <f>SUMIF(114:114,I38,115:115)-SUMIF(114:114,C38,115:115)+100</f>
        <v>100</v>
      </c>
      <c r="K38" s="376"/>
      <c r="L38" s="2717"/>
      <c r="M38" s="2711"/>
      <c r="N38" s="2711"/>
      <c r="O38" s="2711"/>
      <c r="P38" s="3710" t="s">
        <v>1694</v>
      </c>
      <c r="Q38" s="1347" t="str">
        <f t="shared" si="11"/>
        <v>物业管理</v>
      </c>
      <c r="R38" s="703" t="s">
        <v>18</v>
      </c>
      <c r="S38" s="704">
        <f t="shared" si="12"/>
        <v>100</v>
      </c>
      <c r="T38" s="703" t="s">
        <v>18</v>
      </c>
      <c r="U38" s="704">
        <f t="shared" si="13"/>
        <v>100</v>
      </c>
      <c r="V38" s="703" t="s">
        <v>18</v>
      </c>
      <c r="W38" s="704">
        <f t="shared" si="14"/>
        <v>100</v>
      </c>
      <c r="X38" s="1350"/>
      <c r="Y38" s="3712" t="s">
        <v>1694</v>
      </c>
      <c r="Z38" s="1351" t="str">
        <f t="shared" si="18"/>
        <v>物业管理</v>
      </c>
      <c r="AA38" s="1348">
        <f t="shared" si="15"/>
        <v>1</v>
      </c>
      <c r="AB38" s="1348">
        <f t="shared" si="16"/>
        <v>1</v>
      </c>
      <c r="AC38" s="1348">
        <f t="shared" si="17"/>
        <v>1</v>
      </c>
    </row>
    <row r="39" spans="1:29" ht="15">
      <c r="A39" s="422"/>
      <c r="B39" s="374" t="s">
        <v>1701</v>
      </c>
      <c r="C39" s="1901"/>
      <c r="D39" s="385">
        <v>100</v>
      </c>
      <c r="E39" s="1902"/>
      <c r="F39" s="411">
        <f>SUMIF(116:116,E39,117:117)-SUMIF(116:116,C39,117:117)+100</f>
        <v>100</v>
      </c>
      <c r="G39" s="1901"/>
      <c r="H39" s="385">
        <f>SUMIF(116:116,G39,117:117)-SUMIF(116:116,C39,117:117)+100</f>
        <v>100</v>
      </c>
      <c r="I39" s="1902"/>
      <c r="J39" s="385">
        <f>SUMIF(116:116,I39,117:117)-SUMIF(116:116,C39,117:117)+100</f>
        <v>100</v>
      </c>
      <c r="K39" s="376"/>
      <c r="L39" s="2717"/>
      <c r="M39" s="2711"/>
      <c r="N39" s="2711"/>
      <c r="O39" s="2711"/>
      <c r="P39" s="3710"/>
      <c r="Q39" s="1347" t="str">
        <f t="shared" si="11"/>
        <v>市政基础设施</v>
      </c>
      <c r="R39" s="703" t="s">
        <v>18</v>
      </c>
      <c r="S39" s="704">
        <f t="shared" si="12"/>
        <v>100</v>
      </c>
      <c r="T39" s="703" t="s">
        <v>18</v>
      </c>
      <c r="U39" s="704">
        <f t="shared" si="13"/>
        <v>100</v>
      </c>
      <c r="V39" s="703" t="s">
        <v>18</v>
      </c>
      <c r="W39" s="704">
        <f t="shared" si="14"/>
        <v>100</v>
      </c>
      <c r="X39" s="1350"/>
      <c r="Y39" s="3712"/>
      <c r="Z39" s="1351" t="str">
        <f t="shared" si="18"/>
        <v>市政基础设施</v>
      </c>
      <c r="AA39" s="1348">
        <f t="shared" si="15"/>
        <v>1</v>
      </c>
      <c r="AB39" s="1348">
        <f t="shared" si="16"/>
        <v>1</v>
      </c>
      <c r="AC39" s="1348">
        <f t="shared" si="17"/>
        <v>1</v>
      </c>
    </row>
    <row r="40" spans="1:29" ht="15">
      <c r="A40" s="422"/>
      <c r="B40" s="374" t="s">
        <v>1702</v>
      </c>
      <c r="C40" s="1901"/>
      <c r="D40" s="385">
        <v>100</v>
      </c>
      <c r="E40" s="1902"/>
      <c r="F40" s="411">
        <f>SUMIF(118:118,E40,119:119)-SUMIF(118:118,C40,119:119)+100</f>
        <v>100</v>
      </c>
      <c r="G40" s="1901"/>
      <c r="H40" s="385">
        <f>SUMIF(118:118,G40,119:119)-SUMIF(118:118,C40,119:119)+100</f>
        <v>100</v>
      </c>
      <c r="I40" s="1902"/>
      <c r="J40" s="385">
        <f>SUMIF(118:118,I40,119:119)-SUMIF(118:118,C40,119:119)+100</f>
        <v>100</v>
      </c>
      <c r="K40" s="376"/>
      <c r="L40" s="2717"/>
      <c r="M40" s="2711"/>
      <c r="N40" s="2711"/>
      <c r="O40" s="2711"/>
      <c r="P40" s="3710"/>
      <c r="Q40" s="1347" t="str">
        <f t="shared" si="11"/>
        <v>房型</v>
      </c>
      <c r="R40" s="703" t="s">
        <v>18</v>
      </c>
      <c r="S40" s="704">
        <f t="shared" si="12"/>
        <v>100</v>
      </c>
      <c r="T40" s="703" t="s">
        <v>18</v>
      </c>
      <c r="U40" s="704">
        <f t="shared" si="13"/>
        <v>100</v>
      </c>
      <c r="V40" s="703" t="s">
        <v>18</v>
      </c>
      <c r="W40" s="704">
        <f t="shared" si="14"/>
        <v>100</v>
      </c>
      <c r="X40" s="1350"/>
      <c r="Y40" s="3712"/>
      <c r="Z40" s="1351" t="str">
        <f t="shared" si="18"/>
        <v>房型</v>
      </c>
      <c r="AA40" s="1348">
        <f t="shared" si="15"/>
        <v>1</v>
      </c>
      <c r="AB40" s="1348">
        <f t="shared" si="16"/>
        <v>1</v>
      </c>
      <c r="AC40" s="1348">
        <f t="shared" si="17"/>
        <v>1</v>
      </c>
    </row>
    <row r="41" spans="1:29" s="421" customFormat="1" ht="28.5">
      <c r="A41" s="418"/>
      <c r="B41" s="374" t="s">
        <v>1703</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9"/>
      <c r="L41" s="2716"/>
      <c r="M41" s="2718"/>
      <c r="N41" s="2718"/>
      <c r="O41" s="2718"/>
      <c r="P41" s="3710"/>
      <c r="Q41" s="705" t="str">
        <f t="shared" si="11"/>
        <v>单套/主力户型建筑面积</v>
      </c>
      <c r="R41" s="706" t="s">
        <v>18</v>
      </c>
      <c r="S41" s="707">
        <f t="shared" si="12"/>
        <v>100</v>
      </c>
      <c r="T41" s="706" t="s">
        <v>18</v>
      </c>
      <c r="U41" s="707">
        <f t="shared" si="13"/>
        <v>100</v>
      </c>
      <c r="V41" s="706" t="s">
        <v>18</v>
      </c>
      <c r="W41" s="707">
        <f t="shared" si="14"/>
        <v>100</v>
      </c>
      <c r="X41" s="708"/>
      <c r="Y41" s="3712"/>
      <c r="Z41" s="709" t="str">
        <f t="shared" si="18"/>
        <v>单套/主力户型建筑面积</v>
      </c>
      <c r="AA41" s="1348">
        <f t="shared" si="15"/>
        <v>1</v>
      </c>
      <c r="AB41" s="1348">
        <f t="shared" si="16"/>
        <v>1</v>
      </c>
      <c r="AC41" s="1348">
        <f t="shared" si="17"/>
        <v>1</v>
      </c>
    </row>
    <row r="42" spans="1:29" ht="15">
      <c r="A42" s="422"/>
      <c r="B42" s="374" t="s">
        <v>1704</v>
      </c>
      <c r="C42" s="1901"/>
      <c r="D42" s="385">
        <v>100</v>
      </c>
      <c r="E42" s="1902"/>
      <c r="F42" s="411">
        <f>SUMIF(122:122,E42,123:123)-SUMIF(122:122,C42,123:123)+100</f>
        <v>100</v>
      </c>
      <c r="G42" s="1901"/>
      <c r="H42" s="385">
        <f>SUMIF(122:122,G42,123:123)-SUMIF(122:122,C42,123:123)+100</f>
        <v>100</v>
      </c>
      <c r="I42" s="1902"/>
      <c r="J42" s="385">
        <f>SUMIF(122:122,I42,123:123)-SUMIF(122:122,C42,123:123)+100</f>
        <v>100</v>
      </c>
      <c r="K42" s="376"/>
      <c r="L42" s="2717"/>
      <c r="M42" s="2711"/>
      <c r="N42" s="2711"/>
      <c r="O42" s="2711"/>
      <c r="P42" s="3710"/>
      <c r="Q42" s="1347" t="str">
        <f t="shared" si="11"/>
        <v>内部装修</v>
      </c>
      <c r="R42" s="703" t="s">
        <v>18</v>
      </c>
      <c r="S42" s="704">
        <f t="shared" si="12"/>
        <v>100</v>
      </c>
      <c r="T42" s="703" t="s">
        <v>18</v>
      </c>
      <c r="U42" s="704">
        <f t="shared" si="13"/>
        <v>100</v>
      </c>
      <c r="V42" s="703" t="s">
        <v>18</v>
      </c>
      <c r="W42" s="704">
        <f t="shared" si="14"/>
        <v>100</v>
      </c>
      <c r="X42" s="1350"/>
      <c r="Y42" s="3712"/>
      <c r="Z42" s="1351" t="str">
        <f t="shared" si="18"/>
        <v>内部装修</v>
      </c>
      <c r="AA42" s="1348">
        <f t="shared" si="15"/>
        <v>1</v>
      </c>
      <c r="AB42" s="1348">
        <f t="shared" si="16"/>
        <v>1</v>
      </c>
      <c r="AC42" s="1348">
        <f t="shared" si="17"/>
        <v>1</v>
      </c>
    </row>
    <row r="43" spans="1:29" ht="15">
      <c r="A43" s="422"/>
      <c r="B43" s="374" t="s">
        <v>1705</v>
      </c>
      <c r="C43" s="1901"/>
      <c r="D43" s="385">
        <v>100</v>
      </c>
      <c r="E43" s="1902"/>
      <c r="F43" s="411">
        <f>SUMIF(124:124,E43,125:125)-SUMIF(124:124,C43,125:125)+100</f>
        <v>100</v>
      </c>
      <c r="G43" s="1901"/>
      <c r="H43" s="385">
        <f>SUMIF(124:124,G43,125:125)-SUMIF(124:124,C43,125:125)+100</f>
        <v>100</v>
      </c>
      <c r="I43" s="1902"/>
      <c r="J43" s="385">
        <f>SUMIF(124:124,I43,125:125)-SUMIF(124:124,C43,125:125)+100</f>
        <v>100</v>
      </c>
      <c r="K43" s="376"/>
      <c r="L43" s="2717"/>
      <c r="M43" s="2711"/>
      <c r="N43" s="2711"/>
      <c r="O43" s="2711"/>
      <c r="P43" s="3710"/>
      <c r="Q43" s="1347" t="str">
        <f t="shared" si="11"/>
        <v>内部装修维护情况</v>
      </c>
      <c r="R43" s="703" t="s">
        <v>18</v>
      </c>
      <c r="S43" s="704">
        <f t="shared" si="12"/>
        <v>100</v>
      </c>
      <c r="T43" s="703" t="s">
        <v>18</v>
      </c>
      <c r="U43" s="704">
        <f t="shared" si="13"/>
        <v>100</v>
      </c>
      <c r="V43" s="703" t="s">
        <v>18</v>
      </c>
      <c r="W43" s="704">
        <f t="shared" si="14"/>
        <v>100</v>
      </c>
      <c r="X43" s="1350"/>
      <c r="Y43" s="3712"/>
      <c r="Z43" s="1351" t="str">
        <f t="shared" si="18"/>
        <v>内部装修维护情况</v>
      </c>
      <c r="AA43" s="1348">
        <f t="shared" si="15"/>
        <v>1</v>
      </c>
      <c r="AB43" s="1348">
        <f t="shared" si="16"/>
        <v>1</v>
      </c>
      <c r="AC43" s="1348">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12"/>
      <c r="M44" s="2713"/>
      <c r="N44" s="2713"/>
      <c r="O44" s="2713"/>
      <c r="P44" s="3710"/>
      <c r="Q44" s="1338">
        <f t="shared" si="11"/>
        <v>111</v>
      </c>
      <c r="R44" s="699" t="s">
        <v>18</v>
      </c>
      <c r="S44" s="700">
        <f t="shared" si="12"/>
        <v>100</v>
      </c>
      <c r="T44" s="699" t="s">
        <v>18</v>
      </c>
      <c r="U44" s="700">
        <f t="shared" si="13"/>
        <v>100</v>
      </c>
      <c r="V44" s="699" t="s">
        <v>18</v>
      </c>
      <c r="W44" s="700">
        <f t="shared" si="14"/>
        <v>100</v>
      </c>
      <c r="X44" s="701"/>
      <c r="Y44" s="3712"/>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7"/>
      <c r="M45" s="2711"/>
      <c r="N45" s="2711"/>
      <c r="O45" s="2711"/>
      <c r="P45" s="3710"/>
      <c r="Q45" s="1347">
        <f t="shared" si="11"/>
        <v>111</v>
      </c>
      <c r="R45" s="703" t="s">
        <v>18</v>
      </c>
      <c r="S45" s="704">
        <f t="shared" si="12"/>
        <v>100</v>
      </c>
      <c r="T45" s="703" t="s">
        <v>18</v>
      </c>
      <c r="U45" s="704">
        <f t="shared" si="13"/>
        <v>100</v>
      </c>
      <c r="V45" s="703" t="s">
        <v>18</v>
      </c>
      <c r="W45" s="704">
        <f t="shared" si="14"/>
        <v>100</v>
      </c>
      <c r="X45" s="1350"/>
      <c r="Y45" s="3712"/>
      <c r="Z45" s="1351">
        <f t="shared" si="18"/>
        <v>111</v>
      </c>
      <c r="AA45" s="1348">
        <f t="shared" si="15"/>
        <v>1</v>
      </c>
      <c r="AB45" s="1348">
        <f t="shared" si="16"/>
        <v>1</v>
      </c>
      <c r="AC45" s="1348">
        <f t="shared" si="17"/>
        <v>1</v>
      </c>
    </row>
    <row r="46" spans="1:29" ht="15.75" thickBot="1">
      <c r="A46" s="428"/>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7"/>
      <c r="M46" s="2711"/>
      <c r="N46" s="2711"/>
      <c r="O46" s="2711"/>
      <c r="P46" s="3711"/>
      <c r="Q46" s="1347">
        <f t="shared" si="11"/>
        <v>111</v>
      </c>
      <c r="R46" s="703" t="s">
        <v>17</v>
      </c>
      <c r="S46" s="704">
        <f t="shared" si="12"/>
        <v>100</v>
      </c>
      <c r="T46" s="703" t="s">
        <v>17</v>
      </c>
      <c r="U46" s="704">
        <f t="shared" si="13"/>
        <v>100</v>
      </c>
      <c r="V46" s="703" t="s">
        <v>17</v>
      </c>
      <c r="W46" s="704">
        <f t="shared" si="14"/>
        <v>100</v>
      </c>
      <c r="X46" s="1350"/>
      <c r="Y46" s="3713"/>
      <c r="Z46" s="1351">
        <f t="shared" si="18"/>
        <v>111</v>
      </c>
      <c r="AA46" s="1348">
        <f t="shared" si="15"/>
        <v>1</v>
      </c>
      <c r="AB46" s="1348">
        <f t="shared" si="16"/>
        <v>1</v>
      </c>
      <c r="AC46" s="1348">
        <f t="shared" si="17"/>
        <v>1</v>
      </c>
    </row>
    <row r="47" spans="1:29" ht="15">
      <c r="A47" s="429" t="s">
        <v>1706</v>
      </c>
      <c r="B47" s="430"/>
      <c r="C47" s="1150" t="s">
        <v>16</v>
      </c>
      <c r="D47" s="1151"/>
      <c r="E47" s="1152"/>
      <c r="F47" s="1153"/>
      <c r="G47" s="1154"/>
      <c r="H47" s="1155"/>
      <c r="I47" s="1152"/>
      <c r="J47" s="1155"/>
      <c r="K47" s="1909"/>
      <c r="L47" s="2719"/>
      <c r="M47" s="2720"/>
      <c r="N47" s="2711"/>
      <c r="O47" s="2720"/>
      <c r="P47" s="3705" t="str">
        <f>A47</f>
        <v>成交单价（元/平方米）</v>
      </c>
      <c r="Q47" s="3705"/>
      <c r="R47" s="3706">
        <f>E47</f>
        <v>0</v>
      </c>
      <c r="S47" s="3706"/>
      <c r="T47" s="3706">
        <f>G47</f>
        <v>0</v>
      </c>
      <c r="U47" s="3706"/>
      <c r="V47" s="3706">
        <f>I47</f>
        <v>0</v>
      </c>
      <c r="W47" s="3706"/>
      <c r="X47" s="688"/>
      <c r="Y47" s="710"/>
      <c r="Z47" s="688"/>
      <c r="AA47" s="688"/>
      <c r="AB47" s="688"/>
      <c r="AC47" s="688"/>
    </row>
    <row r="48" spans="1:29" ht="15.75" thickBot="1">
      <c r="A48" s="436" t="s">
        <v>1707</v>
      </c>
      <c r="B48" s="437"/>
      <c r="C48" s="1156" t="e">
        <f>R49</f>
        <v>#DIV/0!</v>
      </c>
      <c r="D48" s="2312" t="s">
        <v>2135</v>
      </c>
      <c r="E48" s="1157" t="e">
        <f>R48</f>
        <v>#DIV/0!</v>
      </c>
      <c r="F48" s="2313"/>
      <c r="G48" s="1156" t="e">
        <f>T48</f>
        <v>#DIV/0!</v>
      </c>
      <c r="H48" s="2313"/>
      <c r="I48" s="1157" t="e">
        <f>V48</f>
        <v>#DIV/0!</v>
      </c>
      <c r="J48" s="2313"/>
      <c r="K48" s="2314">
        <f>F48+H48+J48</f>
        <v>0</v>
      </c>
      <c r="L48" s="2719"/>
      <c r="M48" s="2720"/>
      <c r="N48" s="2720"/>
      <c r="O48" s="2720"/>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0" t="s">
        <v>1708</v>
      </c>
      <c r="B49" s="441"/>
      <c r="C49" s="1158" t="e">
        <f>R49</f>
        <v>#DIV/0!</v>
      </c>
      <c r="D49" s="1159"/>
      <c r="E49" s="1159"/>
      <c r="F49" s="1159"/>
      <c r="G49" s="1159"/>
      <c r="H49" s="1159"/>
      <c r="I49" s="1159"/>
      <c r="J49" s="1159"/>
      <c r="K49" s="1910"/>
      <c r="L49" s="2719"/>
      <c r="M49" s="2720"/>
      <c r="N49" s="2720"/>
      <c r="O49" s="2720"/>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5" t="s">
        <v>1709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row>
    <row r="53" spans="1:29" ht="13.5" customHeight="1">
      <c r="A53" s="2720"/>
      <c r="B53" s="2720"/>
      <c r="C53" s="445" t="s">
        <v>1710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row>
    <row r="54" spans="1:29" s="450" customFormat="1" ht="13.5" customHeight="1">
      <c r="A54" s="2723"/>
      <c r="B54" s="2723"/>
      <c r="C54" s="445" t="s">
        <v>1711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1912"/>
    </row>
    <row r="55" spans="1:29" s="450"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2" t="s">
        <v>1712</v>
      </c>
      <c r="B57" s="688"/>
      <c r="C57" s="693"/>
      <c r="D57" s="693"/>
      <c r="E57" s="693"/>
      <c r="F57" s="694"/>
      <c r="G57" s="694"/>
      <c r="H57" s="693"/>
      <c r="I57" s="693"/>
      <c r="J57" s="693"/>
      <c r="K57" s="937"/>
      <c r="L57" s="938"/>
      <c r="M57" s="936"/>
      <c r="N57" s="936"/>
      <c r="O57" s="936"/>
      <c r="P57" s="1913"/>
      <c r="Q57" s="452"/>
    </row>
    <row r="58" spans="1:29" s="456" customFormat="1" ht="15">
      <c r="A58" s="453" t="s">
        <v>1713</v>
      </c>
      <c r="B58" s="454"/>
      <c r="C58" s="1181" t="str">
        <f>YEAR(C7)&amp;"-"&amp;MONTH(C7)</f>
        <v>2024-1</v>
      </c>
      <c r="D58" s="1180">
        <f>EDATE(C58,-1)</f>
        <v>45261</v>
      </c>
      <c r="E58" s="1180">
        <f>EDATE(D58,-1)</f>
        <v>45231</v>
      </c>
      <c r="F58" s="1180">
        <f t="shared" ref="F58:O58" si="19">EDATE(E58,-1)</f>
        <v>45200</v>
      </c>
      <c r="G58" s="1180">
        <f t="shared" si="19"/>
        <v>45170</v>
      </c>
      <c r="H58" s="1180">
        <f t="shared" si="19"/>
        <v>45139</v>
      </c>
      <c r="I58" s="1180">
        <f t="shared" si="19"/>
        <v>45108</v>
      </c>
      <c r="J58" s="1180">
        <f t="shared" si="19"/>
        <v>45078</v>
      </c>
      <c r="K58" s="1180">
        <f t="shared" si="19"/>
        <v>45047</v>
      </c>
      <c r="L58" s="1180">
        <f t="shared" si="19"/>
        <v>45017</v>
      </c>
      <c r="M58" s="1180">
        <f t="shared" si="19"/>
        <v>44986</v>
      </c>
      <c r="N58" s="1180">
        <f t="shared" si="19"/>
        <v>44958</v>
      </c>
      <c r="O58" s="1180">
        <f t="shared" si="19"/>
        <v>44927</v>
      </c>
      <c r="P58" s="1176"/>
    </row>
    <row r="59" spans="1:29" s="108" customFormat="1" ht="15">
      <c r="A59" s="457"/>
      <c r="B59" s="1914"/>
      <c r="C59" s="1178">
        <v>100</v>
      </c>
      <c r="D59" s="459"/>
      <c r="E59" s="460"/>
      <c r="F59" s="460"/>
      <c r="G59" s="460"/>
      <c r="H59" s="460"/>
      <c r="I59" s="460"/>
      <c r="J59" s="460"/>
      <c r="K59" s="460"/>
      <c r="L59" s="460"/>
      <c r="M59" s="461"/>
      <c r="N59" s="460"/>
      <c r="O59" s="461"/>
      <c r="P59" s="1915"/>
    </row>
    <row r="60" spans="1:29" s="108" customFormat="1" ht="15.75" thickBot="1">
      <c r="A60" s="463" t="s">
        <v>1714</v>
      </c>
      <c r="B60" s="464"/>
      <c r="C60" s="465"/>
      <c r="D60" s="466"/>
      <c r="E60" s="466"/>
      <c r="F60" s="466"/>
      <c r="G60" s="466"/>
      <c r="H60" s="466"/>
      <c r="I60" s="466"/>
      <c r="J60" s="466"/>
      <c r="K60" s="466"/>
      <c r="L60" s="466"/>
      <c r="M60" s="467"/>
      <c r="N60" s="466"/>
      <c r="O60" s="467"/>
      <c r="P60" s="1915"/>
      <c r="Q60" s="452"/>
    </row>
    <row r="61" spans="1:29" s="108" customFormat="1" ht="15">
      <c r="A61" s="469" t="s">
        <v>1715</v>
      </c>
      <c r="B61" s="458"/>
      <c r="C61" s="470" t="s">
        <v>1716</v>
      </c>
      <c r="D61" s="471"/>
      <c r="E61" s="471"/>
      <c r="F61" s="471"/>
      <c r="G61" s="471"/>
      <c r="H61" s="471"/>
      <c r="I61" s="471"/>
      <c r="J61" s="471"/>
      <c r="K61" s="471"/>
      <c r="L61" s="472"/>
      <c r="M61" s="473"/>
      <c r="N61" s="928"/>
      <c r="O61" s="928"/>
      <c r="P61" s="1916"/>
      <c r="Q61" s="452"/>
    </row>
    <row r="62" spans="1:29" s="108" customFormat="1" ht="15.75" thickBot="1">
      <c r="A62" s="469"/>
      <c r="B62" s="458"/>
      <c r="C62" s="459">
        <v>100</v>
      </c>
      <c r="D62" s="460"/>
      <c r="E62" s="460"/>
      <c r="F62" s="460"/>
      <c r="G62" s="460"/>
      <c r="H62" s="460"/>
      <c r="I62" s="460"/>
      <c r="J62" s="460"/>
      <c r="K62" s="460"/>
      <c r="L62" s="460"/>
      <c r="M62" s="462"/>
      <c r="N62" s="928"/>
      <c r="O62" s="928"/>
      <c r="P62" s="1915"/>
      <c r="Q62" s="452"/>
    </row>
    <row r="63" spans="1:29">
      <c r="A63" s="475" t="s">
        <v>1717</v>
      </c>
      <c r="B63" s="476" t="s">
        <v>1683</v>
      </c>
      <c r="C63" s="477">
        <f>C9</f>
        <v>0</v>
      </c>
      <c r="D63" s="478"/>
      <c r="E63" s="478"/>
      <c r="F63" s="478"/>
      <c r="G63" s="478"/>
      <c r="H63" s="478"/>
      <c r="I63" s="478"/>
      <c r="J63" s="478"/>
      <c r="K63" s="479"/>
      <c r="L63" s="480"/>
      <c r="M63" s="481"/>
      <c r="N63" s="929"/>
      <c r="O63" s="929"/>
      <c r="P63" s="1917"/>
      <c r="Q63" s="452"/>
    </row>
    <row r="64" spans="1:29" ht="15.75" thickBot="1">
      <c r="A64" s="482"/>
      <c r="B64" s="483"/>
      <c r="C64" s="484">
        <v>100</v>
      </c>
      <c r="D64" s="484"/>
      <c r="E64" s="484"/>
      <c r="F64" s="484"/>
      <c r="G64" s="484"/>
      <c r="H64" s="484"/>
      <c r="I64" s="484"/>
      <c r="J64" s="484"/>
      <c r="K64" s="484"/>
      <c r="L64" s="484"/>
      <c r="M64" s="485"/>
      <c r="N64" s="930"/>
      <c r="O64" s="930"/>
      <c r="P64" s="1917"/>
      <c r="Q64" s="452"/>
    </row>
    <row r="65" spans="1:17" ht="27.75" thickTop="1">
      <c r="A65" s="482"/>
      <c r="B65" s="486" t="s">
        <v>1686</v>
      </c>
      <c r="C65" s="531"/>
      <c r="D65" s="531"/>
      <c r="E65" s="531"/>
      <c r="F65" s="531"/>
      <c r="G65" s="531"/>
      <c r="H65" s="531"/>
      <c r="I65" s="531"/>
      <c r="J65" s="531"/>
      <c r="K65" s="531"/>
      <c r="L65" s="531"/>
      <c r="M65" s="531"/>
      <c r="N65" s="930"/>
      <c r="O65" s="930"/>
      <c r="P65" s="1917"/>
      <c r="Q65" s="452"/>
    </row>
    <row r="66" spans="1:17" ht="15.75" thickBot="1">
      <c r="A66" s="482"/>
      <c r="B66" s="491"/>
      <c r="C66" s="484"/>
      <c r="D66" s="484"/>
      <c r="E66" s="484"/>
      <c r="F66" s="484"/>
      <c r="G66" s="484"/>
      <c r="H66" s="484"/>
      <c r="I66" s="484"/>
      <c r="J66" s="484"/>
      <c r="K66" s="484"/>
      <c r="L66" s="484"/>
      <c r="M66" s="485"/>
      <c r="N66" s="930"/>
      <c r="O66" s="930"/>
      <c r="P66" s="1917"/>
      <c r="Q66" s="452"/>
    </row>
    <row r="67" spans="1:17" ht="15.75" thickTop="1">
      <c r="A67" s="482"/>
      <c r="B67" s="494" t="s">
        <v>1687</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7"/>
      <c r="Q67" s="452"/>
    </row>
    <row r="68" spans="1:17" ht="15">
      <c r="A68" s="482"/>
      <c r="B68" s="496"/>
      <c r="C68" s="497"/>
      <c r="D68" s="497"/>
      <c r="E68" s="497"/>
      <c r="F68" s="497"/>
      <c r="G68" s="497"/>
      <c r="H68" s="497"/>
      <c r="I68" s="497"/>
      <c r="J68" s="497"/>
      <c r="K68" s="498"/>
      <c r="L68" s="499"/>
      <c r="M68" s="500"/>
      <c r="N68" s="929"/>
      <c r="O68" s="929"/>
      <c r="P68" s="1917"/>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7"/>
      <c r="Q69" s="452"/>
    </row>
    <row r="70" spans="1:17" s="421" customFormat="1" ht="15.75" thickTop="1">
      <c r="A70" s="501"/>
      <c r="B70" s="486">
        <f>B12</f>
        <v>111</v>
      </c>
      <c r="C70" s="502"/>
      <c r="D70" s="502"/>
      <c r="E70" s="502"/>
      <c r="F70" s="502"/>
      <c r="G70" s="502"/>
      <c r="H70" s="503"/>
      <c r="I70" s="503"/>
      <c r="J70" s="503"/>
      <c r="K70" s="503"/>
      <c r="L70" s="504"/>
      <c r="M70" s="505"/>
      <c r="N70" s="931"/>
      <c r="O70" s="931"/>
      <c r="P70" s="1918"/>
      <c r="Q70" s="507"/>
    </row>
    <row r="71" spans="1:17" s="421" customFormat="1" ht="15.75" thickBot="1">
      <c r="A71" s="501"/>
      <c r="B71" s="491"/>
      <c r="C71" s="508"/>
      <c r="D71" s="484"/>
      <c r="E71" s="484"/>
      <c r="F71" s="484"/>
      <c r="G71" s="484"/>
      <c r="H71" s="484"/>
      <c r="I71" s="484"/>
      <c r="J71" s="484"/>
      <c r="K71" s="484"/>
      <c r="L71" s="484"/>
      <c r="M71" s="485"/>
      <c r="N71" s="930"/>
      <c r="O71" s="930"/>
      <c r="P71" s="1918"/>
      <c r="Q71" s="507"/>
    </row>
    <row r="72" spans="1:17" s="421" customFormat="1" ht="15.75" thickTop="1">
      <c r="A72" s="501"/>
      <c r="B72" s="486">
        <f>B13</f>
        <v>111</v>
      </c>
      <c r="C72" s="502"/>
      <c r="D72" s="502"/>
      <c r="E72" s="502"/>
      <c r="F72" s="502"/>
      <c r="G72" s="502"/>
      <c r="H72" s="503"/>
      <c r="I72" s="503"/>
      <c r="J72" s="503"/>
      <c r="K72" s="503"/>
      <c r="L72" s="504"/>
      <c r="M72" s="505"/>
      <c r="N72" s="931"/>
      <c r="O72" s="931"/>
      <c r="P72" s="1919"/>
      <c r="Q72" s="509"/>
    </row>
    <row r="73" spans="1:17" s="421" customFormat="1" ht="15.75" thickBot="1">
      <c r="A73" s="501"/>
      <c r="B73" s="491"/>
      <c r="C73" s="508"/>
      <c r="D73" s="508"/>
      <c r="E73" s="508"/>
      <c r="F73" s="508"/>
      <c r="G73" s="508"/>
      <c r="H73" s="510"/>
      <c r="I73" s="510"/>
      <c r="J73" s="510"/>
      <c r="K73" s="510"/>
      <c r="L73" s="510"/>
      <c r="M73" s="511"/>
      <c r="N73" s="931"/>
      <c r="O73" s="931"/>
      <c r="P73" s="1918"/>
      <c r="Q73" s="507"/>
    </row>
    <row r="74" spans="1:17" s="421" customFormat="1" ht="15.75" thickTop="1">
      <c r="A74" s="501"/>
      <c r="B74" s="494">
        <f>B14</f>
        <v>111</v>
      </c>
      <c r="C74" s="502"/>
      <c r="D74" s="502"/>
      <c r="E74" s="502"/>
      <c r="F74" s="502"/>
      <c r="G74" s="471"/>
      <c r="H74" s="512"/>
      <c r="I74" s="512"/>
      <c r="J74" s="512"/>
      <c r="K74" s="512"/>
      <c r="L74" s="513"/>
      <c r="M74" s="514"/>
      <c r="N74" s="931"/>
      <c r="O74" s="931"/>
      <c r="P74" s="1920"/>
      <c r="Q74" s="507"/>
    </row>
    <row r="75" spans="1:17" s="421" customFormat="1" ht="15.75" thickBot="1">
      <c r="A75" s="516"/>
      <c r="B75" s="517"/>
      <c r="C75" s="518"/>
      <c r="D75" s="518"/>
      <c r="E75" s="518"/>
      <c r="F75" s="518"/>
      <c r="G75" s="518"/>
      <c r="H75" s="519"/>
      <c r="I75" s="519"/>
      <c r="J75" s="519"/>
      <c r="K75" s="519"/>
      <c r="L75" s="519"/>
      <c r="M75" s="520"/>
      <c r="N75" s="931"/>
      <c r="O75" s="931"/>
      <c r="P75" s="1918"/>
      <c r="Q75" s="507"/>
    </row>
    <row r="76" spans="1:17">
      <c r="A76" s="475" t="s">
        <v>1688</v>
      </c>
      <c r="B76" s="476" t="s">
        <v>1718</v>
      </c>
      <c r="C76" s="521" t="s">
        <v>1719</v>
      </c>
      <c r="D76" s="521" t="s">
        <v>1720</v>
      </c>
      <c r="E76" s="521" t="s">
        <v>1721</v>
      </c>
      <c r="F76" s="521" t="s">
        <v>1722</v>
      </c>
      <c r="G76" s="521" t="s">
        <v>1723</v>
      </c>
      <c r="H76" s="477"/>
      <c r="I76" s="477"/>
      <c r="J76" s="477"/>
      <c r="K76" s="522"/>
      <c r="L76" s="523"/>
      <c r="M76" s="524"/>
      <c r="N76" s="929"/>
      <c r="O76" s="929"/>
      <c r="P76" s="1921"/>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7"/>
      <c r="Q77" s="452"/>
    </row>
    <row r="78" spans="1:17" ht="15.75" thickTop="1">
      <c r="A78" s="482"/>
      <c r="B78" s="486" t="s">
        <v>1724</v>
      </c>
      <c r="C78" s="526" t="s">
        <v>1719</v>
      </c>
      <c r="D78" s="526" t="s">
        <v>1720</v>
      </c>
      <c r="E78" s="526" t="s">
        <v>1721</v>
      </c>
      <c r="F78" s="526" t="s">
        <v>1722</v>
      </c>
      <c r="G78" s="526" t="s">
        <v>1723</v>
      </c>
      <c r="H78" s="487"/>
      <c r="I78" s="487"/>
      <c r="J78" s="487"/>
      <c r="K78" s="488"/>
      <c r="L78" s="489"/>
      <c r="M78" s="490"/>
      <c r="N78" s="929"/>
      <c r="O78" s="929"/>
      <c r="P78" s="1917"/>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7"/>
      <c r="Q79" s="452"/>
    </row>
    <row r="80" spans="1:17" ht="15.75" thickTop="1">
      <c r="A80" s="482"/>
      <c r="B80" s="486" t="s">
        <v>1725</v>
      </c>
      <c r="C80" s="526" t="s">
        <v>1719</v>
      </c>
      <c r="D80" s="526" t="s">
        <v>1720</v>
      </c>
      <c r="E80" s="526" t="s">
        <v>1721</v>
      </c>
      <c r="F80" s="526" t="s">
        <v>1722</v>
      </c>
      <c r="G80" s="526" t="s">
        <v>1723</v>
      </c>
      <c r="H80" s="487"/>
      <c r="I80" s="487"/>
      <c r="J80" s="487"/>
      <c r="K80" s="488"/>
      <c r="L80" s="489"/>
      <c r="M80" s="490"/>
      <c r="N80" s="929"/>
      <c r="O80" s="929"/>
      <c r="P80" s="1917"/>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7"/>
      <c r="Q81" s="452"/>
    </row>
    <row r="82" spans="1:17" ht="15.75" thickTop="1">
      <c r="A82" s="482"/>
      <c r="B82" s="494" t="s">
        <v>1259</v>
      </c>
      <c r="C82" s="487" t="s">
        <v>1726</v>
      </c>
      <c r="D82" s="487" t="s">
        <v>1727</v>
      </c>
      <c r="E82" s="487" t="s">
        <v>1728</v>
      </c>
      <c r="F82" s="487" t="s">
        <v>1729</v>
      </c>
      <c r="G82" s="487" t="s">
        <v>1730</v>
      </c>
      <c r="H82" s="487"/>
      <c r="I82" s="487"/>
      <c r="J82" s="487"/>
      <c r="K82" s="487"/>
      <c r="L82" s="487"/>
      <c r="M82" s="1125"/>
      <c r="N82" s="930"/>
      <c r="O82" s="930"/>
      <c r="P82" s="1917"/>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7"/>
      <c r="Q83" s="452"/>
    </row>
    <row r="84" spans="1:17" ht="15.75" thickTop="1">
      <c r="A84" s="482"/>
      <c r="B84" s="486" t="s">
        <v>1731</v>
      </c>
      <c r="C84" s="526" t="s">
        <v>1719</v>
      </c>
      <c r="D84" s="526" t="s">
        <v>1720</v>
      </c>
      <c r="E84" s="526" t="s">
        <v>1721</v>
      </c>
      <c r="F84" s="526" t="s">
        <v>1722</v>
      </c>
      <c r="G84" s="526" t="s">
        <v>1723</v>
      </c>
      <c r="H84" s="487"/>
      <c r="I84" s="487"/>
      <c r="J84" s="487"/>
      <c r="K84" s="488"/>
      <c r="L84" s="489"/>
      <c r="M84" s="490"/>
      <c r="N84" s="929"/>
      <c r="O84" s="929"/>
      <c r="P84" s="1917"/>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7"/>
      <c r="Q85" s="452"/>
    </row>
    <row r="86" spans="1:17" s="108" customFormat="1" ht="15.75" thickTop="1">
      <c r="A86" s="527"/>
      <c r="B86" s="486" t="s">
        <v>1732</v>
      </c>
      <c r="C86" s="502"/>
      <c r="D86" s="502"/>
      <c r="E86" s="502"/>
      <c r="F86" s="502"/>
      <c r="G86" s="502"/>
      <c r="H86" s="502"/>
      <c r="I86" s="502"/>
      <c r="J86" s="502"/>
      <c r="K86" s="502"/>
      <c r="L86" s="528"/>
      <c r="M86" s="529"/>
      <c r="N86" s="928"/>
      <c r="O86" s="928"/>
      <c r="P86" s="1917"/>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7"/>
      <c r="Q87" s="452"/>
    </row>
    <row r="88" spans="1:17" s="108" customFormat="1" ht="15.75" thickTop="1">
      <c r="A88" s="527"/>
      <c r="B88" s="486" t="s">
        <v>1733</v>
      </c>
      <c r="C88" s="502"/>
      <c r="D88" s="502"/>
      <c r="E88" s="502"/>
      <c r="F88" s="1922"/>
      <c r="G88" s="502"/>
      <c r="H88" s="502"/>
      <c r="I88" s="502"/>
      <c r="J88" s="502"/>
      <c r="K88" s="502"/>
      <c r="L88" s="502"/>
      <c r="M88" s="529"/>
      <c r="N88" s="928"/>
      <c r="O88" s="928"/>
      <c r="P88" s="1917"/>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7"/>
      <c r="Q89" s="452"/>
    </row>
    <row r="90" spans="1:17" s="421" customFormat="1" ht="15.75" thickTop="1">
      <c r="A90" s="501"/>
      <c r="B90" s="486">
        <f>B27</f>
        <v>111</v>
      </c>
      <c r="C90" s="502"/>
      <c r="D90" s="502"/>
      <c r="E90" s="502"/>
      <c r="F90" s="502"/>
      <c r="G90" s="502"/>
      <c r="H90" s="503"/>
      <c r="I90" s="503"/>
      <c r="J90" s="503"/>
      <c r="K90" s="503"/>
      <c r="L90" s="504"/>
      <c r="M90" s="505"/>
      <c r="N90" s="931"/>
      <c r="O90" s="931"/>
      <c r="P90" s="1918"/>
      <c r="Q90" s="507"/>
    </row>
    <row r="91" spans="1:17" s="421" customFormat="1" ht="15.75" thickBot="1">
      <c r="A91" s="501"/>
      <c r="B91" s="491"/>
      <c r="C91" s="508"/>
      <c r="D91" s="508"/>
      <c r="E91" s="508"/>
      <c r="F91" s="508"/>
      <c r="G91" s="508"/>
      <c r="H91" s="510"/>
      <c r="I91" s="510"/>
      <c r="J91" s="510"/>
      <c r="K91" s="510"/>
      <c r="L91" s="510"/>
      <c r="M91" s="511"/>
      <c r="N91" s="931"/>
      <c r="O91" s="931"/>
      <c r="P91" s="1918"/>
      <c r="Q91" s="507"/>
    </row>
    <row r="92" spans="1:17" ht="15.75" thickTop="1">
      <c r="A92" s="482"/>
      <c r="B92" s="486">
        <f>B28</f>
        <v>111</v>
      </c>
      <c r="C92" s="502"/>
      <c r="D92" s="502"/>
      <c r="E92" s="502"/>
      <c r="F92" s="502"/>
      <c r="G92" s="531"/>
      <c r="H92" s="531"/>
      <c r="I92" s="531"/>
      <c r="J92" s="531"/>
      <c r="K92" s="532"/>
      <c r="L92" s="533"/>
      <c r="M92" s="534"/>
      <c r="N92" s="929"/>
      <c r="O92" s="929"/>
      <c r="P92" s="1917"/>
      <c r="Q92" s="452"/>
    </row>
    <row r="93" spans="1:17" ht="15.75" thickBot="1">
      <c r="A93" s="482"/>
      <c r="B93" s="491"/>
      <c r="C93" s="508"/>
      <c r="D93" s="484"/>
      <c r="E93" s="484"/>
      <c r="F93" s="484"/>
      <c r="G93" s="484"/>
      <c r="H93" s="484"/>
      <c r="I93" s="484"/>
      <c r="J93" s="484"/>
      <c r="K93" s="484"/>
      <c r="L93" s="484"/>
      <c r="M93" s="485"/>
      <c r="N93" s="930"/>
      <c r="O93" s="930"/>
      <c r="P93" s="1917"/>
      <c r="Q93" s="452"/>
    </row>
    <row r="94" spans="1:17" ht="15.75" thickTop="1">
      <c r="A94" s="482"/>
      <c r="B94" s="486">
        <f>B29</f>
        <v>111</v>
      </c>
      <c r="C94" s="502"/>
      <c r="D94" s="502"/>
      <c r="E94" s="502"/>
      <c r="F94" s="502"/>
      <c r="G94" s="531"/>
      <c r="H94" s="531"/>
      <c r="I94" s="531"/>
      <c r="J94" s="531"/>
      <c r="K94" s="532"/>
      <c r="L94" s="533"/>
      <c r="M94" s="534"/>
      <c r="N94" s="929"/>
      <c r="O94" s="929"/>
      <c r="P94" s="1917"/>
      <c r="Q94" s="452"/>
    </row>
    <row r="95" spans="1:17" ht="15.75" thickBot="1">
      <c r="A95" s="482"/>
      <c r="B95" s="491"/>
      <c r="C95" s="508"/>
      <c r="D95" s="508"/>
      <c r="E95" s="508"/>
      <c r="F95" s="508"/>
      <c r="G95" s="484"/>
      <c r="H95" s="484"/>
      <c r="I95" s="484"/>
      <c r="J95" s="484"/>
      <c r="K95" s="484"/>
      <c r="L95" s="484"/>
      <c r="M95" s="485"/>
      <c r="N95" s="930"/>
      <c r="O95" s="930"/>
      <c r="P95" s="1917"/>
      <c r="Q95" s="452"/>
    </row>
    <row r="96" spans="1:17" ht="15.75" thickTop="1">
      <c r="A96" s="482"/>
      <c r="B96" s="486">
        <f>B30</f>
        <v>111</v>
      </c>
      <c r="C96" s="502"/>
      <c r="D96" s="502"/>
      <c r="E96" s="502"/>
      <c r="F96" s="502"/>
      <c r="G96" s="531"/>
      <c r="H96" s="531"/>
      <c r="I96" s="531"/>
      <c r="J96" s="531"/>
      <c r="K96" s="532"/>
      <c r="L96" s="533"/>
      <c r="M96" s="534"/>
      <c r="N96" s="929"/>
      <c r="O96" s="929"/>
      <c r="P96" s="1917"/>
      <c r="Q96" s="452"/>
    </row>
    <row r="97" spans="1:17" ht="15.75" thickBot="1">
      <c r="A97" s="482"/>
      <c r="B97" s="491"/>
      <c r="C97" s="518"/>
      <c r="D97" s="518"/>
      <c r="E97" s="518"/>
      <c r="F97" s="518"/>
      <c r="G97" s="484"/>
      <c r="H97" s="484"/>
      <c r="I97" s="484"/>
      <c r="J97" s="484"/>
      <c r="K97" s="484"/>
      <c r="L97" s="484"/>
      <c r="M97" s="485"/>
      <c r="N97" s="930"/>
      <c r="O97" s="930"/>
      <c r="P97" s="1917"/>
      <c r="Q97" s="452"/>
    </row>
    <row r="98" spans="1:17" ht="15.75" thickTop="1">
      <c r="A98" s="482"/>
      <c r="B98" s="494">
        <f>B31</f>
        <v>111</v>
      </c>
      <c r="C98" s="535"/>
      <c r="D98" s="535"/>
      <c r="E98" s="535"/>
      <c r="F98" s="535"/>
      <c r="G98" s="535"/>
      <c r="H98" s="535"/>
      <c r="I98" s="535"/>
      <c r="J98" s="535"/>
      <c r="K98" s="536"/>
      <c r="L98" s="537"/>
      <c r="M98" s="538"/>
      <c r="N98" s="929"/>
      <c r="O98" s="929"/>
      <c r="P98" s="1917"/>
      <c r="Q98" s="452"/>
    </row>
    <row r="99" spans="1:17" ht="15.75" thickBot="1">
      <c r="A99" s="1923"/>
      <c r="B99" s="517"/>
      <c r="C99" s="539"/>
      <c r="D99" s="539"/>
      <c r="E99" s="539"/>
      <c r="F99" s="539"/>
      <c r="G99" s="539"/>
      <c r="H99" s="539"/>
      <c r="I99" s="539"/>
      <c r="J99" s="539"/>
      <c r="K99" s="539"/>
      <c r="L99" s="539"/>
      <c r="M99" s="540"/>
      <c r="N99" s="930"/>
      <c r="O99" s="930"/>
      <c r="P99" s="1917"/>
      <c r="Q99" s="452"/>
    </row>
    <row r="100" spans="1:17">
      <c r="A100" s="475" t="s">
        <v>1692</v>
      </c>
      <c r="B100" s="476" t="s">
        <v>1734</v>
      </c>
      <c r="C100" s="478"/>
      <c r="D100" s="478"/>
      <c r="E100" s="478"/>
      <c r="F100" s="478"/>
      <c r="G100" s="478"/>
      <c r="H100" s="478"/>
      <c r="I100" s="478"/>
      <c r="J100" s="478"/>
      <c r="K100" s="479"/>
      <c r="L100" s="480"/>
      <c r="M100" s="481"/>
      <c r="N100" s="929"/>
      <c r="O100" s="929"/>
      <c r="P100" s="1917"/>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7"/>
      <c r="Q101" s="452"/>
    </row>
    <row r="102" spans="1:17" ht="15.75" thickTop="1">
      <c r="A102" s="482"/>
      <c r="B102" s="486" t="s">
        <v>1735</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7"/>
      <c r="Q102" s="452"/>
    </row>
    <row r="103" spans="1:17" s="421" customFormat="1">
      <c r="A103" s="541"/>
      <c r="B103" s="542"/>
      <c r="C103" s="543"/>
      <c r="D103" s="543"/>
      <c r="E103" s="543"/>
      <c r="F103" s="543"/>
      <c r="G103" s="543"/>
      <c r="H103" s="543"/>
      <c r="I103" s="543"/>
      <c r="J103" s="544"/>
      <c r="K103" s="544"/>
      <c r="L103" s="545"/>
      <c r="M103" s="546"/>
      <c r="N103" s="931"/>
      <c r="O103" s="931"/>
      <c r="P103" s="1918"/>
      <c r="Q103" s="507"/>
    </row>
    <row r="104" spans="1:17" s="421" customFormat="1" ht="15.75" thickBot="1">
      <c r="A104" s="501"/>
      <c r="B104" s="491"/>
      <c r="C104" s="508"/>
      <c r="D104" s="484"/>
      <c r="E104" s="484"/>
      <c r="F104" s="484"/>
      <c r="G104" s="484"/>
      <c r="H104" s="484"/>
      <c r="I104" s="484"/>
      <c r="J104" s="484"/>
      <c r="K104" s="484"/>
      <c r="L104" s="484"/>
      <c r="M104" s="484"/>
      <c r="N104" s="930"/>
      <c r="O104" s="930"/>
      <c r="P104" s="1918"/>
      <c r="Q104" s="507"/>
    </row>
    <row r="105" spans="1:17" ht="15" thickTop="1">
      <c r="A105" s="547"/>
      <c r="B105" s="486" t="s">
        <v>1736</v>
      </c>
      <c r="C105" s="502"/>
      <c r="D105" s="502"/>
      <c r="E105" s="531"/>
      <c r="F105" s="531"/>
      <c r="G105" s="531"/>
      <c r="H105" s="531"/>
      <c r="I105" s="531"/>
      <c r="J105" s="531"/>
      <c r="K105" s="532"/>
      <c r="L105" s="533"/>
      <c r="M105" s="534"/>
      <c r="N105" s="929"/>
      <c r="O105" s="929"/>
      <c r="P105" s="1917"/>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7"/>
      <c r="Q106" s="452"/>
    </row>
    <row r="107" spans="1:17" ht="15" thickTop="1">
      <c r="A107" s="547"/>
      <c r="B107" s="486" t="s">
        <v>1737</v>
      </c>
      <c r="C107" s="531"/>
      <c r="D107" s="531"/>
      <c r="E107" s="531"/>
      <c r="F107" s="531"/>
      <c r="G107" s="531"/>
      <c r="H107" s="531"/>
      <c r="I107" s="531"/>
      <c r="J107" s="531"/>
      <c r="K107" s="532"/>
      <c r="L107" s="533"/>
      <c r="M107" s="534"/>
      <c r="N107" s="929"/>
      <c r="O107" s="929"/>
      <c r="P107" s="1917"/>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7"/>
      <c r="Q108" s="452"/>
    </row>
    <row r="109" spans="1:17" ht="15" thickTop="1">
      <c r="A109" s="547"/>
      <c r="B109" s="486" t="s">
        <v>1738</v>
      </c>
      <c r="C109" s="502"/>
      <c r="D109" s="502"/>
      <c r="E109" s="502"/>
      <c r="F109" s="531"/>
      <c r="G109" s="531"/>
      <c r="H109" s="531"/>
      <c r="I109" s="531"/>
      <c r="J109" s="531"/>
      <c r="K109" s="532"/>
      <c r="L109" s="533"/>
      <c r="M109" s="534"/>
      <c r="N109" s="929"/>
      <c r="O109" s="929"/>
      <c r="P109" s="1917"/>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7"/>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8"/>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8"/>
      <c r="Q113" s="507"/>
    </row>
    <row r="114" spans="1:17" ht="15" thickTop="1">
      <c r="A114" s="547"/>
      <c r="B114" s="486" t="s">
        <v>1739</v>
      </c>
      <c r="C114" s="502"/>
      <c r="D114" s="502"/>
      <c r="E114" s="531"/>
      <c r="F114" s="531"/>
      <c r="G114" s="531"/>
      <c r="H114" s="531"/>
      <c r="I114" s="531"/>
      <c r="J114" s="531"/>
      <c r="K114" s="532"/>
      <c r="L114" s="533"/>
      <c r="M114" s="534"/>
      <c r="N114" s="929"/>
      <c r="O114" s="929"/>
      <c r="P114" s="1917"/>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7"/>
      <c r="Q115" s="452"/>
    </row>
    <row r="116" spans="1:17" ht="15" thickTop="1">
      <c r="A116" s="547"/>
      <c r="B116" s="486" t="s">
        <v>1740</v>
      </c>
      <c r="C116" s="502"/>
      <c r="D116" s="502"/>
      <c r="E116" s="502"/>
      <c r="F116" s="502"/>
      <c r="G116" s="502"/>
      <c r="H116" s="531"/>
      <c r="I116" s="531"/>
      <c r="J116" s="531"/>
      <c r="K116" s="532"/>
      <c r="L116" s="533"/>
      <c r="M116" s="534"/>
      <c r="N116" s="929"/>
      <c r="O116" s="929"/>
      <c r="P116" s="1917"/>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7"/>
      <c r="Q117" s="452"/>
    </row>
    <row r="118" spans="1:17" ht="15" thickTop="1">
      <c r="A118" s="547"/>
      <c r="B118" s="486" t="s">
        <v>1741</v>
      </c>
      <c r="C118" s="531"/>
      <c r="D118" s="531"/>
      <c r="E118" s="531"/>
      <c r="F118" s="531"/>
      <c r="G118" s="531"/>
      <c r="H118" s="531"/>
      <c r="I118" s="531"/>
      <c r="J118" s="531"/>
      <c r="K118" s="532"/>
      <c r="L118" s="533"/>
      <c r="M118" s="534"/>
      <c r="N118" s="929"/>
      <c r="O118" s="929"/>
      <c r="P118" s="1917"/>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7"/>
      <c r="Q119" s="452"/>
    </row>
    <row r="120" spans="1:17" s="421" customFormat="1" ht="28.5" thickTop="1">
      <c r="A120" s="541"/>
      <c r="B120" s="486" t="s">
        <v>1703</v>
      </c>
      <c r="C120" s="502"/>
      <c r="D120" s="502"/>
      <c r="E120" s="502"/>
      <c r="F120" s="502"/>
      <c r="G120" s="502"/>
      <c r="H120" s="502"/>
      <c r="I120" s="502"/>
      <c r="J120" s="502"/>
      <c r="K120" s="502"/>
      <c r="L120" s="528"/>
      <c r="M120" s="529"/>
      <c r="N120" s="931"/>
      <c r="O120" s="931"/>
      <c r="P120" s="1918"/>
      <c r="Q120" s="507"/>
    </row>
    <row r="121" spans="1:17" s="421" customFormat="1" ht="15.75" thickBot="1">
      <c r="A121" s="501"/>
      <c r="B121" s="483"/>
      <c r="C121" s="508"/>
      <c r="D121" s="484"/>
      <c r="E121" s="484"/>
      <c r="F121" s="484"/>
      <c r="G121" s="484"/>
      <c r="H121" s="484"/>
      <c r="I121" s="484"/>
      <c r="J121" s="484"/>
      <c r="K121" s="484"/>
      <c r="L121" s="484"/>
      <c r="M121" s="484"/>
      <c r="N121" s="931"/>
      <c r="O121" s="931"/>
      <c r="P121" s="1918"/>
      <c r="Q121" s="507"/>
    </row>
    <row r="122" spans="1:17" ht="15" thickTop="1">
      <c r="A122" s="547"/>
      <c r="B122" s="486" t="s">
        <v>1742</v>
      </c>
      <c r="C122" s="502"/>
      <c r="D122" s="502"/>
      <c r="E122" s="502"/>
      <c r="F122" s="531"/>
      <c r="G122" s="531"/>
      <c r="H122" s="531"/>
      <c r="I122" s="531"/>
      <c r="J122" s="531"/>
      <c r="K122" s="532"/>
      <c r="L122" s="533"/>
      <c r="M122" s="534"/>
      <c r="N122" s="929"/>
      <c r="O122" s="929"/>
      <c r="P122" s="1917"/>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7"/>
      <c r="Q123" s="452"/>
    </row>
    <row r="124" spans="1:17" ht="15" thickTop="1">
      <c r="A124" s="547"/>
      <c r="B124" s="486" t="s">
        <v>1743</v>
      </c>
      <c r="C124" s="526" t="s">
        <v>1719</v>
      </c>
      <c r="D124" s="526" t="s">
        <v>1720</v>
      </c>
      <c r="E124" s="526" t="s">
        <v>1721</v>
      </c>
      <c r="F124" s="526" t="s">
        <v>1722</v>
      </c>
      <c r="G124" s="526" t="s">
        <v>1723</v>
      </c>
      <c r="H124" s="487"/>
      <c r="I124" s="487"/>
      <c r="J124" s="487"/>
      <c r="K124" s="488"/>
      <c r="L124" s="489"/>
      <c r="M124" s="490"/>
      <c r="N124" s="929"/>
      <c r="O124" s="929"/>
      <c r="P124" s="1918"/>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7"/>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8"/>
      <c r="Q126" s="507"/>
    </row>
    <row r="127" spans="1:17" s="421" customFormat="1" ht="15.75" thickBot="1">
      <c r="A127" s="501"/>
      <c r="B127" s="491"/>
      <c r="C127" s="508"/>
      <c r="D127" s="484"/>
      <c r="E127" s="484"/>
      <c r="F127" s="484"/>
      <c r="G127" s="508"/>
      <c r="H127" s="510"/>
      <c r="I127" s="510"/>
      <c r="J127" s="510"/>
      <c r="K127" s="510"/>
      <c r="L127" s="510"/>
      <c r="M127" s="511"/>
      <c r="N127" s="931"/>
      <c r="O127" s="931"/>
      <c r="P127" s="1918"/>
      <c r="Q127" s="507"/>
    </row>
    <row r="128" spans="1:17" ht="15" thickTop="1">
      <c r="A128" s="547"/>
      <c r="B128" s="486">
        <f>B45</f>
        <v>111</v>
      </c>
      <c r="C128" s="502"/>
      <c r="D128" s="502"/>
      <c r="E128" s="502"/>
      <c r="F128" s="502"/>
      <c r="G128" s="531"/>
      <c r="H128" s="531"/>
      <c r="I128" s="531"/>
      <c r="J128" s="531"/>
      <c r="K128" s="532"/>
      <c r="L128" s="533"/>
      <c r="M128" s="534"/>
      <c r="N128" s="929"/>
      <c r="O128" s="929"/>
      <c r="P128" s="1917"/>
      <c r="Q128" s="452"/>
    </row>
    <row r="129" spans="1:17" ht="15.75" thickBot="1">
      <c r="A129" s="482"/>
      <c r="B129" s="491"/>
      <c r="C129" s="508"/>
      <c r="D129" s="508"/>
      <c r="E129" s="508"/>
      <c r="F129" s="508"/>
      <c r="G129" s="484"/>
      <c r="H129" s="484"/>
      <c r="I129" s="484"/>
      <c r="J129" s="484"/>
      <c r="K129" s="484"/>
      <c r="L129" s="484"/>
      <c r="M129" s="485"/>
      <c r="N129" s="930"/>
      <c r="O129" s="930"/>
      <c r="P129" s="1917"/>
      <c r="Q129" s="452"/>
    </row>
    <row r="130" spans="1:17" ht="15" thickTop="1">
      <c r="A130" s="547"/>
      <c r="B130" s="494">
        <f>B46</f>
        <v>111</v>
      </c>
      <c r="C130" s="502"/>
      <c r="D130" s="502"/>
      <c r="E130" s="502"/>
      <c r="F130" s="502"/>
      <c r="G130" s="535"/>
      <c r="H130" s="535"/>
      <c r="I130" s="535"/>
      <c r="J130" s="535"/>
      <c r="K130" s="471"/>
      <c r="L130" s="472"/>
      <c r="M130" s="538"/>
      <c r="N130" s="929"/>
      <c r="O130" s="929"/>
      <c r="P130" s="1917"/>
      <c r="Q130" s="452"/>
    </row>
    <row r="131" spans="1:17" ht="15.75" thickBot="1">
      <c r="A131" s="1923"/>
      <c r="B131" s="517"/>
      <c r="C131" s="518"/>
      <c r="D131" s="518"/>
      <c r="E131" s="518"/>
      <c r="F131" s="518"/>
      <c r="G131" s="539"/>
      <c r="H131" s="539"/>
      <c r="I131" s="539"/>
      <c r="J131" s="539"/>
      <c r="K131" s="539"/>
      <c r="L131" s="539"/>
      <c r="M131" s="540"/>
      <c r="N131" s="930"/>
      <c r="O131" s="930"/>
      <c r="P131" s="1917"/>
      <c r="Q131" s="452"/>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6" t="s">
        <v>1747</v>
      </c>
      <c r="D138" s="136" t="s">
        <v>1748</v>
      </c>
      <c r="E138" s="1932" t="s">
        <v>1749</v>
      </c>
      <c r="F138" s="1933" t="s">
        <v>1750</v>
      </c>
      <c r="G138" s="136" t="s">
        <v>1748</v>
      </c>
      <c r="H138" s="137" t="s">
        <v>1749</v>
      </c>
      <c r="I138" s="1934"/>
      <c r="J138" s="136" t="s">
        <v>1751</v>
      </c>
      <c r="K138" s="137" t="s">
        <v>1752</v>
      </c>
    </row>
    <row r="139" spans="1:17" ht="15">
      <c r="B139" s="865">
        <v>6</v>
      </c>
      <c r="C139" s="866">
        <v>96</v>
      </c>
      <c r="D139" s="1935" t="s">
        <v>1753</v>
      </c>
      <c r="E139" s="867">
        <v>100</v>
      </c>
      <c r="F139" s="868">
        <v>102.5</v>
      </c>
      <c r="G139" s="1935" t="s">
        <v>1753</v>
      </c>
      <c r="H139" s="869">
        <v>105</v>
      </c>
      <c r="I139" s="1936" t="s">
        <v>1754</v>
      </c>
      <c r="J139" s="866">
        <v>20</v>
      </c>
      <c r="K139" s="870">
        <f>C145/(J139-2)</f>
        <v>4.0555555555555553E-3</v>
      </c>
    </row>
    <row r="140" spans="1:17" ht="15">
      <c r="B140" s="871">
        <v>5</v>
      </c>
      <c r="C140" s="872">
        <v>100</v>
      </c>
      <c r="D140" s="872"/>
      <c r="E140" s="873"/>
      <c r="F140" s="874">
        <v>102</v>
      </c>
      <c r="G140" s="872"/>
      <c r="H140" s="875"/>
      <c r="I140" s="1937" t="s">
        <v>1755</v>
      </c>
      <c r="J140" s="270">
        <f>ROUNDUP((J139-1)/2,0)</f>
        <v>10</v>
      </c>
      <c r="K140" s="876">
        <v>100</v>
      </c>
    </row>
    <row r="141" spans="1:17" ht="15">
      <c r="B141" s="871">
        <v>4</v>
      </c>
      <c r="C141" s="872">
        <v>102</v>
      </c>
      <c r="D141" s="872"/>
      <c r="E141" s="873"/>
      <c r="F141" s="874">
        <v>101.5</v>
      </c>
      <c r="G141" s="872"/>
      <c r="H141" s="875"/>
      <c r="I141" s="1937" t="s">
        <v>1756</v>
      </c>
      <c r="J141" s="270">
        <v>1</v>
      </c>
      <c r="K141" s="877">
        <f>ROUND(100+(J141-J140)*K139*100,1)</f>
        <v>96.4</v>
      </c>
    </row>
    <row r="142" spans="1:17" ht="15">
      <c r="B142" s="871">
        <v>3</v>
      </c>
      <c r="C142" s="872">
        <v>103</v>
      </c>
      <c r="D142" s="872"/>
      <c r="E142" s="873"/>
      <c r="F142" s="874">
        <v>101</v>
      </c>
      <c r="G142" s="872"/>
      <c r="H142" s="875"/>
      <c r="I142" s="1937" t="s">
        <v>1757</v>
      </c>
      <c r="J142" s="270">
        <f>J139</f>
        <v>20</v>
      </c>
      <c r="K142" s="878">
        <v>95</v>
      </c>
    </row>
    <row r="143" spans="1:17" ht="15">
      <c r="B143" s="871">
        <v>2</v>
      </c>
      <c r="C143" s="872">
        <v>100</v>
      </c>
      <c r="D143" s="872"/>
      <c r="E143" s="873"/>
      <c r="F143" s="874">
        <v>100.5</v>
      </c>
      <c r="G143" s="872"/>
      <c r="H143" s="875"/>
      <c r="I143" s="1937" t="s">
        <v>1758</v>
      </c>
      <c r="J143" s="872">
        <v>15</v>
      </c>
      <c r="K143" s="877">
        <f>ROUND(100+(J143-J140)*K139*100,1)</f>
        <v>102</v>
      </c>
    </row>
    <row r="144" spans="1:17" ht="15">
      <c r="B144" s="871">
        <v>1</v>
      </c>
      <c r="C144" s="872">
        <v>98</v>
      </c>
      <c r="D144" s="1938" t="s">
        <v>1759</v>
      </c>
      <c r="E144" s="873">
        <v>102</v>
      </c>
      <c r="F144" s="879">
        <v>100</v>
      </c>
      <c r="G144" s="1938" t="s">
        <v>1759</v>
      </c>
      <c r="H144" s="875">
        <v>105</v>
      </c>
      <c r="I144" s="1937" t="s">
        <v>1758</v>
      </c>
      <c r="J144" s="872">
        <v>18</v>
      </c>
      <c r="K144" s="877">
        <f>ROUND(100+(J144-J140)*K139*100,1)</f>
        <v>103.2</v>
      </c>
    </row>
    <row r="145" spans="2:11" ht="15.75" thickBot="1">
      <c r="B145" s="1939" t="s">
        <v>1760</v>
      </c>
      <c r="C145" s="880">
        <f>ROUND(MAX(C139:C144)/MIN(C139:C144)-1,3)</f>
        <v>7.2999999999999995E-2</v>
      </c>
      <c r="D145" s="881"/>
      <c r="E145" s="881"/>
      <c r="F145" s="1940" t="s">
        <v>1761</v>
      </c>
      <c r="G145" s="1941"/>
      <c r="H145" s="1942"/>
      <c r="I145" s="1943" t="s">
        <v>1758</v>
      </c>
      <c r="J145" s="882">
        <v>8</v>
      </c>
      <c r="K145" s="883">
        <f>ROUND(100+(J145-J140)*K139*100,1)</f>
        <v>99.2</v>
      </c>
    </row>
    <row r="147" spans="2:11">
      <c r="B147" s="1924" t="s">
        <v>1762</v>
      </c>
    </row>
    <row r="148" spans="2:11">
      <c r="B148" s="1924"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1658</v>
      </c>
      <c r="B1" s="1873" t="s">
        <v>1764</v>
      </c>
      <c r="C1" s="1233" t="s">
        <v>1660</v>
      </c>
      <c r="D1" s="1220"/>
      <c r="E1" s="3421"/>
      <c r="F1" s="1874"/>
      <c r="G1" s="1230" t="s">
        <v>1765</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1" customFormat="1" ht="28.5" customHeight="1" thickTop="1">
      <c r="A2" s="1216" t="s">
        <v>1460</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1461</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1" customFormat="1" ht="28.5" customHeight="1" thickBot="1">
      <c r="A3" s="202" t="s">
        <v>1462</v>
      </c>
      <c r="B3" s="557">
        <f>IF(C2="——",C49,ROUND(B2*10000/D3,0))</f>
        <v>0</v>
      </c>
      <c r="C3" s="353" t="s">
        <v>1766</v>
      </c>
      <c r="D3" s="352">
        <f>IF(D1="",'数据-汇总表'!E3,SUMIF('数据-汇总表'!$C19:$C33,D1,'数据-汇总表'!$E19:$E33))</f>
        <v>39707.960000000006</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4" t="s">
        <v>1767</v>
      </c>
      <c r="B4" s="355"/>
      <c r="C4" s="3720" t="s">
        <v>1768</v>
      </c>
      <c r="D4" s="3721"/>
      <c r="E4" s="3722" t="s">
        <v>1769</v>
      </c>
      <c r="F4" s="3723"/>
      <c r="G4" s="3720" t="s">
        <v>1770</v>
      </c>
      <c r="H4" s="3721"/>
      <c r="I4" s="3720" t="s">
        <v>1771</v>
      </c>
      <c r="J4" s="3721"/>
      <c r="K4" s="558" t="s">
        <v>1772</v>
      </c>
      <c r="L4" s="2710"/>
      <c r="M4" s="2711"/>
      <c r="N4" s="2711"/>
      <c r="O4" s="2711"/>
      <c r="P4" s="3724" t="s">
        <v>1773</v>
      </c>
      <c r="Q4" s="3725"/>
      <c r="R4" s="3730" t="s">
        <v>1769</v>
      </c>
      <c r="S4" s="3731"/>
      <c r="T4" s="3730" t="s">
        <v>1770</v>
      </c>
      <c r="U4" s="3731"/>
      <c r="V4" s="3736" t="s">
        <v>1771</v>
      </c>
      <c r="W4" s="3736"/>
      <c r="X4" s="1350"/>
      <c r="Y4" s="3730" t="s">
        <v>1773</v>
      </c>
      <c r="Z4" s="3731"/>
      <c r="AA4" s="3717" t="s">
        <v>1769</v>
      </c>
      <c r="AB4" s="3736" t="s">
        <v>1770</v>
      </c>
      <c r="AC4" s="3717" t="s">
        <v>1771</v>
      </c>
    </row>
    <row r="5" spans="1:29" ht="15">
      <c r="A5" s="357"/>
      <c r="B5" s="358"/>
      <c r="C5" s="3739" t="s">
        <v>1671</v>
      </c>
      <c r="D5" s="3740"/>
      <c r="E5" s="3746" t="s">
        <v>1672</v>
      </c>
      <c r="F5" s="3747"/>
      <c r="G5" s="3739" t="s">
        <v>1673</v>
      </c>
      <c r="H5" s="3740"/>
      <c r="I5" s="3739" t="s">
        <v>1674</v>
      </c>
      <c r="J5" s="3740"/>
      <c r="K5" s="558"/>
      <c r="L5" s="2710"/>
      <c r="M5" s="2711"/>
      <c r="N5" s="2711"/>
      <c r="O5" s="2711"/>
      <c r="P5" s="3726"/>
      <c r="Q5" s="3727"/>
      <c r="R5" s="3732"/>
      <c r="S5" s="3733"/>
      <c r="T5" s="3732"/>
      <c r="U5" s="3733"/>
      <c r="V5" s="3736"/>
      <c r="W5" s="3736"/>
      <c r="X5" s="1350"/>
      <c r="Y5" s="3732"/>
      <c r="Z5" s="3733"/>
      <c r="AA5" s="3718"/>
      <c r="AB5" s="3736"/>
      <c r="AC5" s="3718"/>
    </row>
    <row r="6" spans="1:29" ht="15.75" thickBot="1">
      <c r="A6" s="359"/>
      <c r="B6" s="360"/>
      <c r="C6" s="3737" t="s">
        <v>1675</v>
      </c>
      <c r="D6" s="3738"/>
      <c r="E6" s="3744" t="s">
        <v>1675</v>
      </c>
      <c r="F6" s="3745"/>
      <c r="G6" s="3737" t="s">
        <v>1675</v>
      </c>
      <c r="H6" s="3738"/>
      <c r="I6" s="3737" t="s">
        <v>1675</v>
      </c>
      <c r="J6" s="3738"/>
      <c r="K6" s="558" t="s">
        <v>1676</v>
      </c>
      <c r="L6" s="2710"/>
      <c r="M6" s="2711"/>
      <c r="N6" s="2711"/>
      <c r="O6" s="2711"/>
      <c r="P6" s="3728"/>
      <c r="Q6" s="3729"/>
      <c r="R6" s="3732"/>
      <c r="S6" s="3733"/>
      <c r="T6" s="3734"/>
      <c r="U6" s="3735"/>
      <c r="V6" s="3736"/>
      <c r="W6" s="3736"/>
      <c r="X6" s="1350"/>
      <c r="Y6" s="3734"/>
      <c r="Z6" s="3735"/>
      <c r="AA6" s="3719"/>
      <c r="AB6" s="3736"/>
      <c r="AC6" s="3719"/>
    </row>
    <row r="7" spans="1:29" s="108" customFormat="1" ht="15.75" thickBot="1">
      <c r="A7" s="361" t="s">
        <v>1677</v>
      </c>
      <c r="B7" s="362"/>
      <c r="C7" s="363">
        <f>'数据-取费表'!B2</f>
        <v>45322</v>
      </c>
      <c r="D7" s="364">
        <v>100</v>
      </c>
      <c r="E7" s="365"/>
      <c r="F7" s="366">
        <f>SUMIF(58:58,YEAR(E7)&amp;"-"&amp;MONTH(E7),59:59)</f>
        <v>0</v>
      </c>
      <c r="G7" s="365"/>
      <c r="H7" s="364">
        <f>SUMIF(58:58,YEAR(G7)&amp;"-"&amp;MONTH(G7),59:59)</f>
        <v>0</v>
      </c>
      <c r="I7" s="365"/>
      <c r="J7" s="364">
        <f>SUMIF(58:58,YEAR(I7)&amp;"-"&amp;MONTH(I7),59:59)</f>
        <v>0</v>
      </c>
      <c r="K7" s="559"/>
      <c r="L7" s="2712"/>
      <c r="M7" s="2713"/>
      <c r="N7" s="2713"/>
      <c r="O7" s="2713"/>
      <c r="P7" s="3741" t="s">
        <v>1678</v>
      </c>
      <c r="Q7" s="3743"/>
      <c r="R7" s="699" t="s">
        <v>14</v>
      </c>
      <c r="S7" s="700">
        <f t="shared" ref="S7:S15" si="0">F7</f>
        <v>0</v>
      </c>
      <c r="T7" s="699" t="s">
        <v>14</v>
      </c>
      <c r="U7" s="700">
        <f t="shared" ref="U7:U15" si="1">H7</f>
        <v>0</v>
      </c>
      <c r="V7" s="699" t="s">
        <v>14</v>
      </c>
      <c r="W7" s="700">
        <f t="shared" ref="W7:W15" si="2">J7</f>
        <v>0</v>
      </c>
      <c r="X7" s="701"/>
      <c r="Y7" s="3741" t="s">
        <v>1678</v>
      </c>
      <c r="Z7" s="3742"/>
      <c r="AA7" s="702" t="e">
        <f>D7/F7</f>
        <v>#DIV/0!</v>
      </c>
      <c r="AB7" s="702" t="e">
        <f>D7/H7</f>
        <v>#DIV/0!</v>
      </c>
      <c r="AC7" s="702" t="e">
        <f>D7/J7</f>
        <v>#DIV/0!</v>
      </c>
    </row>
    <row r="8" spans="1:29" s="108" customFormat="1" ht="15.75" thickBot="1">
      <c r="A8" s="361" t="s">
        <v>1679</v>
      </c>
      <c r="B8" s="362"/>
      <c r="C8" s="367"/>
      <c r="D8" s="364">
        <v>100</v>
      </c>
      <c r="E8" s="367"/>
      <c r="F8" s="366">
        <f>SUMIF(61:61,E8,62:62)-SUMIF(61:61,C8,62:62)+100</f>
        <v>100</v>
      </c>
      <c r="G8" s="367"/>
      <c r="H8" s="364">
        <f>SUMIF(61:61,G8,62:62)-SUMIF(61:61,C8,62:62)+100</f>
        <v>100</v>
      </c>
      <c r="I8" s="367"/>
      <c r="J8" s="364">
        <f>SUMIF(61:61,I8,62:62)-SUMIF(61:61,C8,62:62)+100</f>
        <v>100</v>
      </c>
      <c r="K8" s="559"/>
      <c r="L8" s="2712"/>
      <c r="M8" s="2713"/>
      <c r="N8" s="2713"/>
      <c r="O8" s="2713"/>
      <c r="P8" s="3741" t="s">
        <v>1681</v>
      </c>
      <c r="Q8" s="3742"/>
      <c r="R8" s="699" t="s">
        <v>14</v>
      </c>
      <c r="S8" s="700">
        <f t="shared" si="0"/>
        <v>100</v>
      </c>
      <c r="T8" s="699" t="s">
        <v>14</v>
      </c>
      <c r="U8" s="700">
        <f t="shared" si="1"/>
        <v>100</v>
      </c>
      <c r="V8" s="699" t="s">
        <v>14</v>
      </c>
      <c r="W8" s="700">
        <f t="shared" si="2"/>
        <v>100</v>
      </c>
      <c r="X8" s="701"/>
      <c r="Y8" s="3741" t="s">
        <v>1681</v>
      </c>
      <c r="Z8" s="3742"/>
      <c r="AA8" s="702">
        <f t="shared" ref="AA8:AA46" si="3">D8/F8</f>
        <v>1</v>
      </c>
      <c r="AB8" s="702">
        <f t="shared" ref="AB8:AB46" si="4">D8/H8</f>
        <v>1</v>
      </c>
      <c r="AC8" s="702">
        <f t="shared" ref="AC8:AC46" si="5">D8/J8</f>
        <v>1</v>
      </c>
    </row>
    <row r="9" spans="1:29" s="108" customFormat="1">
      <c r="A9" s="368" t="s">
        <v>1682</v>
      </c>
      <c r="B9" s="63" t="s">
        <v>1683</v>
      </c>
      <c r="C9" s="369"/>
      <c r="D9" s="125">
        <v>100</v>
      </c>
      <c r="E9" s="370"/>
      <c r="F9" s="371">
        <f>SUMIF(63:63,E9,64:64)-SUMIF(63:63,C9,64:64)+100</f>
        <v>100</v>
      </c>
      <c r="G9" s="370"/>
      <c r="H9" s="125">
        <f>SUMIF(63:63,G9,64:64)-SUMIF(63:63,C9,64:64)+100</f>
        <v>100</v>
      </c>
      <c r="I9" s="370"/>
      <c r="J9" s="125">
        <f>SUMIF(63:63,I9,64:64)-SUMIF(63:63,C9,64:64)+100</f>
        <v>100</v>
      </c>
      <c r="K9" s="559"/>
      <c r="L9" s="2712"/>
      <c r="M9" s="2713"/>
      <c r="N9" s="2713"/>
      <c r="O9" s="2713"/>
      <c r="P9" s="3716" t="s">
        <v>1684</v>
      </c>
      <c r="Q9" s="1338" t="str">
        <f t="shared" ref="Q9:Q15" si="6">B9</f>
        <v>用途</v>
      </c>
      <c r="R9" s="699" t="s">
        <v>14</v>
      </c>
      <c r="S9" s="700">
        <f t="shared" si="0"/>
        <v>100</v>
      </c>
      <c r="T9" s="699" t="s">
        <v>14</v>
      </c>
      <c r="U9" s="700">
        <f t="shared" si="1"/>
        <v>100</v>
      </c>
      <c r="V9" s="699" t="s">
        <v>14</v>
      </c>
      <c r="W9" s="700">
        <f t="shared" si="2"/>
        <v>100</v>
      </c>
      <c r="X9" s="701"/>
      <c r="Y9" s="3579" t="s">
        <v>1685</v>
      </c>
      <c r="Z9" s="52" t="str">
        <f t="shared" ref="Z9:Z15" si="7">Q9</f>
        <v>用途</v>
      </c>
      <c r="AA9" s="702">
        <f t="shared" si="3"/>
        <v>1</v>
      </c>
      <c r="AB9" s="702">
        <f t="shared" si="4"/>
        <v>1</v>
      </c>
      <c r="AC9" s="702">
        <f t="shared" si="5"/>
        <v>1</v>
      </c>
    </row>
    <row r="10" spans="1:29" s="377" customFormat="1" ht="27">
      <c r="A10" s="373"/>
      <c r="B10" s="374" t="s">
        <v>1686</v>
      </c>
      <c r="C10" s="3429"/>
      <c r="D10" s="126">
        <v>100</v>
      </c>
      <c r="E10" s="3430"/>
      <c r="F10" s="375">
        <f>SUMIF(65:65,E10,66:66)-SUMIF(65:65,C10,66:66)+100</f>
        <v>100</v>
      </c>
      <c r="G10" s="3429"/>
      <c r="H10" s="126">
        <f>SUMIF(65:65,G10,66:66)-SUMIF(65:65,C10,66:66)+100</f>
        <v>100</v>
      </c>
      <c r="I10" s="3429"/>
      <c r="J10" s="126">
        <f>SUMIF(65:65,I10,66:66)-SUMIF(65:65,C10,66:66)+100</f>
        <v>100</v>
      </c>
      <c r="K10" s="559"/>
      <c r="L10" s="2714"/>
      <c r="M10" s="2715"/>
      <c r="N10" s="2715"/>
      <c r="O10" s="2715"/>
      <c r="P10" s="3716"/>
      <c r="Q10" s="1338" t="str">
        <f t="shared" si="6"/>
        <v>土地使用年限（年）</v>
      </c>
      <c r="R10" s="699" t="s">
        <v>14</v>
      </c>
      <c r="S10" s="700">
        <f t="shared" si="0"/>
        <v>100</v>
      </c>
      <c r="T10" s="699" t="s">
        <v>14</v>
      </c>
      <c r="U10" s="700">
        <f t="shared" si="1"/>
        <v>100</v>
      </c>
      <c r="V10" s="699" t="s">
        <v>14</v>
      </c>
      <c r="W10" s="700">
        <f t="shared" si="2"/>
        <v>100</v>
      </c>
      <c r="X10" s="701"/>
      <c r="Y10" s="3579"/>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6"/>
      <c r="M11" s="2711"/>
      <c r="N11" s="2711"/>
      <c r="O11" s="2711"/>
      <c r="P11" s="3716"/>
      <c r="Q11" s="1338" t="str">
        <f t="shared" si="6"/>
        <v>容积率</v>
      </c>
      <c r="R11" s="699" t="s">
        <v>14</v>
      </c>
      <c r="S11" s="700" t="e">
        <f t="shared" si="0"/>
        <v>#N/A</v>
      </c>
      <c r="T11" s="699" t="s">
        <v>14</v>
      </c>
      <c r="U11" s="700" t="e">
        <f t="shared" si="1"/>
        <v>#N/A</v>
      </c>
      <c r="V11" s="699" t="s">
        <v>14</v>
      </c>
      <c r="W11" s="700" t="e">
        <f t="shared" si="2"/>
        <v>#N/A</v>
      </c>
      <c r="X11" s="701"/>
      <c r="Y11" s="3579"/>
      <c r="Z11" s="52" t="str">
        <f t="shared" si="7"/>
        <v>容积率</v>
      </c>
      <c r="AA11" s="702" t="e">
        <f t="shared" si="3"/>
        <v>#N/A</v>
      </c>
      <c r="AB11" s="702" t="e">
        <f t="shared" si="4"/>
        <v>#N/A</v>
      </c>
      <c r="AC11" s="702" t="e">
        <f t="shared" si="5"/>
        <v>#N/A</v>
      </c>
    </row>
    <row r="12" spans="1:29" s="108"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61"/>
      <c r="L12" s="2712"/>
      <c r="M12" s="2713"/>
      <c r="N12" s="2713"/>
      <c r="O12" s="2713"/>
      <c r="P12" s="3716"/>
      <c r="Q12" s="1338">
        <f t="shared" si="6"/>
        <v>111</v>
      </c>
      <c r="R12" s="699" t="s">
        <v>14</v>
      </c>
      <c r="S12" s="700">
        <f t="shared" si="0"/>
        <v>100</v>
      </c>
      <c r="T12" s="699" t="s">
        <v>14</v>
      </c>
      <c r="U12" s="700">
        <f t="shared" si="1"/>
        <v>100</v>
      </c>
      <c r="V12" s="699" t="s">
        <v>14</v>
      </c>
      <c r="W12" s="700">
        <f t="shared" si="2"/>
        <v>100</v>
      </c>
      <c r="X12" s="701"/>
      <c r="Y12" s="3579"/>
      <c r="Z12" s="52">
        <f t="shared" si="7"/>
        <v>111</v>
      </c>
      <c r="AA12" s="702">
        <f>D12/F12</f>
        <v>1</v>
      </c>
      <c r="AB12" s="702">
        <f>D12/H12</f>
        <v>1</v>
      </c>
      <c r="AC12" s="702">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61"/>
      <c r="L13" s="2717"/>
      <c r="M13" s="2711"/>
      <c r="N13" s="2711"/>
      <c r="O13" s="2711"/>
      <c r="P13" s="3716"/>
      <c r="Q13" s="1338">
        <f t="shared" si="6"/>
        <v>111</v>
      </c>
      <c r="R13" s="699" t="s">
        <v>14</v>
      </c>
      <c r="S13" s="700">
        <f t="shared" si="0"/>
        <v>100</v>
      </c>
      <c r="T13" s="699" t="s">
        <v>14</v>
      </c>
      <c r="U13" s="700">
        <f t="shared" si="1"/>
        <v>100</v>
      </c>
      <c r="V13" s="699" t="s">
        <v>14</v>
      </c>
      <c r="W13" s="700">
        <f t="shared" si="2"/>
        <v>100</v>
      </c>
      <c r="X13" s="701"/>
      <c r="Y13" s="3579"/>
      <c r="Z13" s="52">
        <f t="shared" si="7"/>
        <v>111</v>
      </c>
      <c r="AA13" s="702">
        <f t="shared" si="3"/>
        <v>1</v>
      </c>
      <c r="AB13" s="702">
        <f t="shared" si="4"/>
        <v>1</v>
      </c>
      <c r="AC13" s="702">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61"/>
      <c r="L14" s="2717"/>
      <c r="M14" s="2711"/>
      <c r="N14" s="2711"/>
      <c r="O14" s="2711"/>
      <c r="P14" s="3716"/>
      <c r="Q14" s="1338">
        <f t="shared" si="6"/>
        <v>111</v>
      </c>
      <c r="R14" s="699" t="s">
        <v>14</v>
      </c>
      <c r="S14" s="700">
        <f t="shared" si="0"/>
        <v>100</v>
      </c>
      <c r="T14" s="699" t="s">
        <v>14</v>
      </c>
      <c r="U14" s="700">
        <f t="shared" si="1"/>
        <v>100</v>
      </c>
      <c r="V14" s="699" t="s">
        <v>14</v>
      </c>
      <c r="W14" s="700">
        <f t="shared" si="2"/>
        <v>100</v>
      </c>
      <c r="X14" s="701"/>
      <c r="Y14" s="3579"/>
      <c r="Z14" s="52">
        <f t="shared" si="7"/>
        <v>111</v>
      </c>
      <c r="AA14" s="702">
        <f t="shared" si="3"/>
        <v>1</v>
      </c>
      <c r="AB14" s="702">
        <f t="shared" si="4"/>
        <v>1</v>
      </c>
      <c r="AC14" s="702">
        <f t="shared" si="5"/>
        <v>1</v>
      </c>
    </row>
    <row r="15" spans="1:29" ht="71.25">
      <c r="A15" s="390" t="s">
        <v>1688</v>
      </c>
      <c r="B15" s="61" t="s">
        <v>1775</v>
      </c>
      <c r="C15" s="1891"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7"/>
      <c r="M15" s="2711"/>
      <c r="N15" s="2711"/>
      <c r="O15" s="2711"/>
      <c r="P15" s="3714" t="s">
        <v>1689</v>
      </c>
      <c r="Q15" s="1347" t="str">
        <f t="shared" si="6"/>
        <v>商业繁华度</v>
      </c>
      <c r="R15" s="703" t="s">
        <v>14</v>
      </c>
      <c r="S15" s="704">
        <f t="shared" si="0"/>
        <v>100</v>
      </c>
      <c r="T15" s="703" t="s">
        <v>14</v>
      </c>
      <c r="U15" s="704">
        <f t="shared" si="1"/>
        <v>100</v>
      </c>
      <c r="V15" s="703" t="s">
        <v>14</v>
      </c>
      <c r="W15" s="704">
        <f t="shared" si="2"/>
        <v>100</v>
      </c>
      <c r="X15" s="1350"/>
      <c r="Y15" s="3707" t="s">
        <v>1689</v>
      </c>
      <c r="Z15" s="1351" t="str">
        <f t="shared" si="7"/>
        <v>商业繁华度</v>
      </c>
      <c r="AA15" s="1348">
        <f t="shared" si="3"/>
        <v>1</v>
      </c>
      <c r="AB15" s="1348">
        <f t="shared" si="4"/>
        <v>1</v>
      </c>
      <c r="AC15" s="1348">
        <f t="shared" si="5"/>
        <v>1</v>
      </c>
    </row>
    <row r="16" spans="1:29" ht="15">
      <c r="A16" s="378"/>
      <c r="B16" s="396"/>
      <c r="C16" s="397"/>
      <c r="D16" s="398"/>
      <c r="E16" s="397"/>
      <c r="F16" s="399"/>
      <c r="G16" s="397"/>
      <c r="H16" s="400"/>
      <c r="I16" s="397"/>
      <c r="J16" s="398"/>
      <c r="K16" s="563"/>
      <c r="L16" s="2717"/>
      <c r="M16" s="2711"/>
      <c r="N16" s="2711"/>
      <c r="O16" s="2711"/>
      <c r="P16" s="3715"/>
      <c r="Q16" s="1347"/>
      <c r="R16" s="703"/>
      <c r="S16" s="704"/>
      <c r="T16" s="703"/>
      <c r="U16" s="704"/>
      <c r="V16" s="703"/>
      <c r="W16" s="704"/>
      <c r="X16" s="1350"/>
      <c r="Y16" s="3708"/>
      <c r="Z16" s="1351"/>
      <c r="AA16" s="1348">
        <v>1</v>
      </c>
      <c r="AB16" s="1348">
        <v>1</v>
      </c>
      <c r="AC16" s="1348">
        <v>1</v>
      </c>
    </row>
    <row r="17" spans="1:29" ht="85.5">
      <c r="A17" s="378"/>
      <c r="B17" s="401" t="s">
        <v>1258</v>
      </c>
      <c r="C17" s="1895"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7"/>
      <c r="M17" s="2711"/>
      <c r="N17" s="2711"/>
      <c r="O17" s="2711"/>
      <c r="P17" s="3715"/>
      <c r="Q17" s="1347" t="str">
        <f>B17</f>
        <v>交通便捷度</v>
      </c>
      <c r="R17" s="703" t="s">
        <v>14</v>
      </c>
      <c r="S17" s="704">
        <f>F17</f>
        <v>100</v>
      </c>
      <c r="T17" s="703" t="s">
        <v>14</v>
      </c>
      <c r="U17" s="704">
        <f>H17</f>
        <v>100</v>
      </c>
      <c r="V17" s="703" t="s">
        <v>14</v>
      </c>
      <c r="W17" s="704">
        <f>J17</f>
        <v>100</v>
      </c>
      <c r="X17" s="1350"/>
      <c r="Y17" s="3708"/>
      <c r="Z17" s="1351" t="str">
        <f>Q17</f>
        <v>交通便捷度</v>
      </c>
      <c r="AA17" s="1348">
        <f t="shared" si="3"/>
        <v>1</v>
      </c>
      <c r="AB17" s="1348">
        <f t="shared" si="4"/>
        <v>1</v>
      </c>
      <c r="AC17" s="1348">
        <f t="shared" si="5"/>
        <v>1</v>
      </c>
    </row>
    <row r="18" spans="1:29" ht="15">
      <c r="A18" s="378"/>
      <c r="B18" s="406"/>
      <c r="C18" s="1896"/>
      <c r="D18" s="400"/>
      <c r="E18" s="1898"/>
      <c r="F18" s="403"/>
      <c r="G18" s="1897"/>
      <c r="H18" s="398"/>
      <c r="I18" s="1898"/>
      <c r="J18" s="398"/>
      <c r="K18" s="563"/>
      <c r="L18" s="2717"/>
      <c r="M18" s="2711"/>
      <c r="N18" s="2711"/>
      <c r="O18" s="2711"/>
      <c r="P18" s="3715"/>
      <c r="Q18" s="1347"/>
      <c r="R18" s="703"/>
      <c r="S18" s="704"/>
      <c r="T18" s="703"/>
      <c r="U18" s="704"/>
      <c r="V18" s="703"/>
      <c r="W18" s="704"/>
      <c r="X18" s="1350"/>
      <c r="Y18" s="3708"/>
      <c r="Z18" s="1351"/>
      <c r="AA18" s="1348">
        <v>1</v>
      </c>
      <c r="AB18" s="1348">
        <v>1</v>
      </c>
      <c r="AC18" s="1348">
        <v>1</v>
      </c>
    </row>
    <row r="19" spans="1:29" ht="42.75">
      <c r="A19" s="378"/>
      <c r="B19" s="401" t="s">
        <v>1776</v>
      </c>
      <c r="C19" s="1895"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7"/>
      <c r="M19" s="2711"/>
      <c r="N19" s="2711"/>
      <c r="O19" s="2711"/>
      <c r="P19" s="3715"/>
      <c r="Q19" s="1347" t="str">
        <f>B19</f>
        <v>公共配套设施</v>
      </c>
      <c r="R19" s="703" t="s">
        <v>14</v>
      </c>
      <c r="S19" s="704">
        <f>F19</f>
        <v>100</v>
      </c>
      <c r="T19" s="703" t="s">
        <v>14</v>
      </c>
      <c r="U19" s="704">
        <f>H19</f>
        <v>100</v>
      </c>
      <c r="V19" s="703" t="s">
        <v>14</v>
      </c>
      <c r="W19" s="704">
        <f>J19</f>
        <v>100</v>
      </c>
      <c r="X19" s="1350"/>
      <c r="Y19" s="3708"/>
      <c r="Z19" s="1351" t="str">
        <f>Q19</f>
        <v>公共配套设施</v>
      </c>
      <c r="AA19" s="1348">
        <f t="shared" si="3"/>
        <v>1</v>
      </c>
      <c r="AB19" s="1348">
        <f t="shared" si="4"/>
        <v>1</v>
      </c>
      <c r="AC19" s="1348">
        <f t="shared" si="5"/>
        <v>1</v>
      </c>
    </row>
    <row r="20" spans="1:29" ht="15">
      <c r="A20" s="378"/>
      <c r="B20" s="406"/>
      <c r="C20" s="397"/>
      <c r="D20" s="398"/>
      <c r="E20" s="1893"/>
      <c r="F20" s="399"/>
      <c r="G20" s="1892"/>
      <c r="H20" s="398"/>
      <c r="I20" s="1893"/>
      <c r="J20" s="398"/>
      <c r="K20" s="563"/>
      <c r="L20" s="2717"/>
      <c r="M20" s="2711"/>
      <c r="N20" s="2711"/>
      <c r="O20" s="2711"/>
      <c r="P20" s="3715"/>
      <c r="Q20" s="1347"/>
      <c r="R20" s="703"/>
      <c r="S20" s="704"/>
      <c r="T20" s="703"/>
      <c r="U20" s="704"/>
      <c r="V20" s="703"/>
      <c r="W20" s="704"/>
      <c r="X20" s="1350"/>
      <c r="Y20" s="3708"/>
      <c r="Z20" s="1351"/>
      <c r="AA20" s="1348">
        <v>1</v>
      </c>
      <c r="AB20" s="1348">
        <v>1</v>
      </c>
      <c r="AC20" s="1348">
        <v>1</v>
      </c>
    </row>
    <row r="21" spans="1:29" ht="28.5">
      <c r="A21" s="378"/>
      <c r="B21" s="1127" t="s">
        <v>1777</v>
      </c>
      <c r="C21" s="1895"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7"/>
      <c r="M21" s="2711"/>
      <c r="N21" s="2711"/>
      <c r="O21" s="2711"/>
      <c r="P21" s="3715"/>
      <c r="Q21" s="1347" t="str">
        <f>B21</f>
        <v>基础设施水平</v>
      </c>
      <c r="R21" s="703" t="s">
        <v>14</v>
      </c>
      <c r="S21" s="704">
        <f>F21</f>
        <v>100</v>
      </c>
      <c r="T21" s="703" t="s">
        <v>14</v>
      </c>
      <c r="U21" s="704">
        <f>H21</f>
        <v>100</v>
      </c>
      <c r="V21" s="703" t="s">
        <v>14</v>
      </c>
      <c r="W21" s="704">
        <f>J21</f>
        <v>100</v>
      </c>
      <c r="X21" s="1350"/>
      <c r="Y21" s="3708"/>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9"/>
      <c r="G22" s="397"/>
      <c r="H22" s="398"/>
      <c r="I22" s="397"/>
      <c r="J22" s="398"/>
      <c r="K22" s="1126"/>
      <c r="L22" s="2717"/>
      <c r="M22" s="2711"/>
      <c r="N22" s="2711"/>
      <c r="O22" s="2711"/>
      <c r="P22" s="3715"/>
      <c r="Q22" s="1347"/>
      <c r="R22" s="703"/>
      <c r="S22" s="704"/>
      <c r="T22" s="703"/>
      <c r="U22" s="704"/>
      <c r="V22" s="703"/>
      <c r="W22" s="704"/>
      <c r="X22" s="1350"/>
      <c r="Y22" s="3708"/>
      <c r="Z22" s="1351"/>
      <c r="AA22" s="1348">
        <v>1</v>
      </c>
      <c r="AB22" s="1348">
        <v>1</v>
      </c>
      <c r="AC22" s="1348">
        <v>1</v>
      </c>
    </row>
    <row r="23" spans="1:29" ht="57">
      <c r="A23" s="378"/>
      <c r="B23" s="401" t="s">
        <v>1260</v>
      </c>
      <c r="C23" s="1950"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7"/>
      <c r="M23" s="2711"/>
      <c r="N23" s="2711"/>
      <c r="O23" s="2711"/>
      <c r="P23" s="3715"/>
      <c r="Q23" s="1347" t="str">
        <f>B23</f>
        <v>自然及人文环境</v>
      </c>
      <c r="R23" s="703" t="s">
        <v>14</v>
      </c>
      <c r="S23" s="704">
        <f>F23</f>
        <v>100</v>
      </c>
      <c r="T23" s="703" t="s">
        <v>14</v>
      </c>
      <c r="U23" s="704">
        <f>H23</f>
        <v>100</v>
      </c>
      <c r="V23" s="703" t="s">
        <v>14</v>
      </c>
      <c r="W23" s="704">
        <f>J23</f>
        <v>100</v>
      </c>
      <c r="X23" s="1350"/>
      <c r="Y23" s="3708"/>
      <c r="Z23" s="1351" t="str">
        <f>Q23</f>
        <v>自然及人文环境</v>
      </c>
      <c r="AA23" s="1348">
        <f t="shared" si="3"/>
        <v>1</v>
      </c>
      <c r="AB23" s="1348">
        <f t="shared" si="4"/>
        <v>1</v>
      </c>
      <c r="AC23" s="1348">
        <f t="shared" si="5"/>
        <v>1</v>
      </c>
    </row>
    <row r="24" spans="1:29" ht="15">
      <c r="A24" s="378"/>
      <c r="B24" s="406"/>
      <c r="C24" s="397"/>
      <c r="D24" s="398"/>
      <c r="E24" s="1893"/>
      <c r="F24" s="399"/>
      <c r="G24" s="1892"/>
      <c r="H24" s="398"/>
      <c r="I24" s="1893"/>
      <c r="J24" s="398"/>
      <c r="K24" s="563"/>
      <c r="L24" s="2717"/>
      <c r="M24" s="2711"/>
      <c r="N24" s="2711"/>
      <c r="O24" s="2711"/>
      <c r="P24" s="3715"/>
      <c r="Q24" s="1347"/>
      <c r="R24" s="703"/>
      <c r="S24" s="704"/>
      <c r="T24" s="703"/>
      <c r="U24" s="704"/>
      <c r="V24" s="703"/>
      <c r="W24" s="704"/>
      <c r="X24" s="1350"/>
      <c r="Y24" s="3708"/>
      <c r="Z24" s="1351"/>
      <c r="AA24" s="1348">
        <v>1</v>
      </c>
      <c r="AB24" s="1348">
        <v>1</v>
      </c>
      <c r="AC24" s="1348">
        <v>1</v>
      </c>
    </row>
    <row r="25" spans="1:29" ht="15">
      <c r="A25" s="378"/>
      <c r="B25" s="374" t="s">
        <v>1778</v>
      </c>
      <c r="C25" s="564"/>
      <c r="D25" s="385">
        <v>100</v>
      </c>
      <c r="E25" s="564"/>
      <c r="F25" s="411">
        <f>SUMIF(86:86,E25,87:87)-SUMIF(86:86,C25,87:87)+100</f>
        <v>100</v>
      </c>
      <c r="G25" s="564"/>
      <c r="H25" s="385">
        <f>SUMIF(86:86,G25,87:87)-SUMIF(86:86,C25,87:87)+100</f>
        <v>100</v>
      </c>
      <c r="I25" s="564"/>
      <c r="J25" s="385">
        <f>SUMIF(86:86,I25,87:87)-SUMIF(86:86,C25,87:87)+100</f>
        <v>100</v>
      </c>
      <c r="K25" s="560"/>
      <c r="L25" s="2717"/>
      <c r="M25" s="2711"/>
      <c r="N25" s="2711"/>
      <c r="O25" s="2711"/>
      <c r="P25" s="3715"/>
      <c r="Q25" s="1347" t="str">
        <f t="shared" ref="Q25:Q46" si="11">B25</f>
        <v>临街状况</v>
      </c>
      <c r="R25" s="703" t="s">
        <v>14</v>
      </c>
      <c r="S25" s="704">
        <f>F25</f>
        <v>100</v>
      </c>
      <c r="T25" s="703" t="s">
        <v>14</v>
      </c>
      <c r="U25" s="704">
        <f>H25</f>
        <v>100</v>
      </c>
      <c r="V25" s="703" t="s">
        <v>14</v>
      </c>
      <c r="W25" s="704">
        <f>J25</f>
        <v>100</v>
      </c>
      <c r="X25" s="1350"/>
      <c r="Y25" s="3708"/>
      <c r="Z25" s="1351" t="str">
        <f>Q25</f>
        <v>临街状况</v>
      </c>
      <c r="AA25" s="1348">
        <f t="shared" si="3"/>
        <v>1</v>
      </c>
      <c r="AB25" s="1348">
        <f t="shared" si="4"/>
        <v>1</v>
      </c>
      <c r="AC25" s="1348">
        <f t="shared" si="5"/>
        <v>1</v>
      </c>
    </row>
    <row r="26" spans="1:29" ht="15">
      <c r="A26" s="378"/>
      <c r="B26" s="1129" t="s">
        <v>1779</v>
      </c>
      <c r="C26" s="384"/>
      <c r="D26" s="385">
        <v>100</v>
      </c>
      <c r="E26" s="384"/>
      <c r="F26" s="411">
        <f>SUMIF(88:88,E26,89:89)-SUMIF(88:88,C26,89:89)+100</f>
        <v>100</v>
      </c>
      <c r="G26" s="384"/>
      <c r="H26" s="385">
        <f>SUMIF(88:88,G26,89:89)-SUMIF(88:88,C26,89:89)+100</f>
        <v>100</v>
      </c>
      <c r="I26" s="384"/>
      <c r="J26" s="385">
        <f>SUMIF(88:88,I26,89:89)-SUMIF(88:88,C26,89:89)+100</f>
        <v>100</v>
      </c>
      <c r="K26" s="561"/>
      <c r="L26" s="2717"/>
      <c r="M26" s="2711"/>
      <c r="N26" s="2711"/>
      <c r="O26" s="2711"/>
      <c r="P26" s="3715"/>
      <c r="Q26" s="1347" t="str">
        <f t="shared" si="11"/>
        <v>平面位置/可视性</v>
      </c>
      <c r="R26" s="703" t="s">
        <v>14</v>
      </c>
      <c r="S26" s="704">
        <f>F26</f>
        <v>100</v>
      </c>
      <c r="T26" s="703" t="s">
        <v>14</v>
      </c>
      <c r="U26" s="704">
        <f>H26</f>
        <v>100</v>
      </c>
      <c r="V26" s="703" t="s">
        <v>14</v>
      </c>
      <c r="W26" s="704">
        <f>J26</f>
        <v>100</v>
      </c>
      <c r="X26" s="1350"/>
      <c r="Y26" s="3708"/>
      <c r="Z26" s="1351" t="str">
        <f>Q26</f>
        <v>平面位置/可视性</v>
      </c>
      <c r="AA26" s="1348">
        <f t="shared" si="3"/>
        <v>1</v>
      </c>
      <c r="AB26" s="1348">
        <f t="shared" si="4"/>
        <v>1</v>
      </c>
      <c r="AC26" s="1348">
        <f t="shared" si="5"/>
        <v>1</v>
      </c>
    </row>
    <row r="27" spans="1:29" s="108" customFormat="1" ht="15">
      <c r="A27" s="381"/>
      <c r="B27" s="401" t="s">
        <v>1780</v>
      </c>
      <c r="C27" s="1951"/>
      <c r="D27" s="412">
        <v>100</v>
      </c>
      <c r="E27" s="1951"/>
      <c r="F27" s="414">
        <f>SUMIF(90:90,E27,91:91)-SUMIF(90:90,C27,91:91)+100</f>
        <v>100</v>
      </c>
      <c r="G27" s="1951"/>
      <c r="H27" s="412">
        <f>SUMIF(90:90,G27,91:91)-SUMIF(90:90,C27,91:91)+100</f>
        <v>100</v>
      </c>
      <c r="I27" s="1951"/>
      <c r="J27" s="412">
        <f>SUMIF(90:90,I27,91:91)-SUMIF(90:90,C27,91:91)+100</f>
        <v>100</v>
      </c>
      <c r="K27" s="560"/>
      <c r="L27" s="2712"/>
      <c r="M27" s="2713"/>
      <c r="N27" s="2713"/>
      <c r="O27" s="2713"/>
      <c r="P27" s="3715"/>
      <c r="Q27" s="1338" t="str">
        <f t="shared" si="11"/>
        <v>人流量</v>
      </c>
      <c r="R27" s="699" t="s">
        <v>14</v>
      </c>
      <c r="S27" s="700">
        <f>F27</f>
        <v>100</v>
      </c>
      <c r="T27" s="699" t="s">
        <v>14</v>
      </c>
      <c r="U27" s="700">
        <f>H27</f>
        <v>100</v>
      </c>
      <c r="V27" s="699" t="s">
        <v>14</v>
      </c>
      <c r="W27" s="700">
        <f>J27</f>
        <v>100</v>
      </c>
      <c r="X27" s="701"/>
      <c r="Y27" s="3708"/>
      <c r="Z27" s="52" t="str">
        <f>Q27</f>
        <v>人流量</v>
      </c>
      <c r="AA27" s="1348">
        <f>D27/F27</f>
        <v>1</v>
      </c>
      <c r="AB27" s="1348">
        <f>D27/H27</f>
        <v>1</v>
      </c>
      <c r="AC27" s="1348">
        <f>D27/J27</f>
        <v>1</v>
      </c>
    </row>
    <row r="28" spans="1:29" ht="15">
      <c r="A28" s="378"/>
      <c r="B28" s="374" t="s">
        <v>1781</v>
      </c>
      <c r="C28" s="564"/>
      <c r="D28" s="385">
        <v>100</v>
      </c>
      <c r="E28" s="564"/>
      <c r="F28" s="411">
        <f>SUMIF(92:92,E28,93:93)-SUMIF(92:92,C28,93:93)+100</f>
        <v>100</v>
      </c>
      <c r="G28" s="564"/>
      <c r="H28" s="385">
        <f>SUMIF(92:92,G28,93:93)-SUMIF(92:92,C28,93:93)+100</f>
        <v>100</v>
      </c>
      <c r="I28" s="564"/>
      <c r="J28" s="385">
        <f>SUMIF(92:92,I28,93:93)-SUMIF(92:92,C28,93:93)+100</f>
        <v>100</v>
      </c>
      <c r="K28" s="561"/>
      <c r="L28" s="2717"/>
      <c r="M28" s="2711"/>
      <c r="N28" s="2711"/>
      <c r="O28" s="2711"/>
      <c r="P28" s="3715"/>
      <c r="Q28" s="1347" t="str">
        <f t="shared" si="11"/>
        <v>楼层</v>
      </c>
      <c r="R28" s="703" t="s">
        <v>14</v>
      </c>
      <c r="S28" s="704">
        <f t="shared" ref="S28:S46" si="12">F28</f>
        <v>100</v>
      </c>
      <c r="T28" s="703" t="s">
        <v>14</v>
      </c>
      <c r="U28" s="704">
        <f t="shared" ref="U28:U46" si="13">H28</f>
        <v>100</v>
      </c>
      <c r="V28" s="703" t="s">
        <v>14</v>
      </c>
      <c r="W28" s="704">
        <f t="shared" ref="W28:W46" si="14">J28</f>
        <v>100</v>
      </c>
      <c r="X28" s="1350"/>
      <c r="Y28" s="3708"/>
      <c r="Z28" s="1351" t="str">
        <f t="shared" ref="Z28:Z46" si="15">Q28</f>
        <v>楼层</v>
      </c>
      <c r="AA28" s="1348">
        <f t="shared" si="3"/>
        <v>1</v>
      </c>
      <c r="AB28" s="1348">
        <f t="shared" si="4"/>
        <v>1</v>
      </c>
      <c r="AC28" s="1348">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7"/>
      <c r="M29" s="2711"/>
      <c r="N29" s="2711"/>
      <c r="O29" s="2711"/>
      <c r="P29" s="3715"/>
      <c r="Q29" s="1347">
        <f t="shared" si="11"/>
        <v>111</v>
      </c>
      <c r="R29" s="703" t="s">
        <v>14</v>
      </c>
      <c r="S29" s="704">
        <f t="shared" si="12"/>
        <v>100</v>
      </c>
      <c r="T29" s="703" t="s">
        <v>14</v>
      </c>
      <c r="U29" s="704">
        <f t="shared" si="13"/>
        <v>100</v>
      </c>
      <c r="V29" s="703" t="s">
        <v>14</v>
      </c>
      <c r="W29" s="704">
        <f t="shared" si="14"/>
        <v>100</v>
      </c>
      <c r="X29" s="1350"/>
      <c r="Y29" s="3708"/>
      <c r="Z29" s="1351">
        <f t="shared" si="15"/>
        <v>111</v>
      </c>
      <c r="AA29" s="1348">
        <f t="shared" si="3"/>
        <v>1</v>
      </c>
      <c r="AB29" s="1348">
        <f t="shared" si="4"/>
        <v>1</v>
      </c>
      <c r="AC29" s="1348">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7"/>
      <c r="M30" s="2711"/>
      <c r="N30" s="2711"/>
      <c r="O30" s="2711"/>
      <c r="P30" s="3715"/>
      <c r="Q30" s="1347">
        <f t="shared" si="11"/>
        <v>111</v>
      </c>
      <c r="R30" s="703" t="s">
        <v>14</v>
      </c>
      <c r="S30" s="704">
        <f t="shared" si="12"/>
        <v>100</v>
      </c>
      <c r="T30" s="703" t="s">
        <v>14</v>
      </c>
      <c r="U30" s="704">
        <f t="shared" si="13"/>
        <v>100</v>
      </c>
      <c r="V30" s="703" t="s">
        <v>14</v>
      </c>
      <c r="W30" s="704">
        <f t="shared" si="14"/>
        <v>100</v>
      </c>
      <c r="X30" s="1350"/>
      <c r="Y30" s="3708"/>
      <c r="Z30" s="1351">
        <f t="shared" si="15"/>
        <v>111</v>
      </c>
      <c r="AA30" s="1348">
        <f t="shared" si="3"/>
        <v>1</v>
      </c>
      <c r="AB30" s="1348">
        <f t="shared" si="4"/>
        <v>1</v>
      </c>
      <c r="AC30" s="1348">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7"/>
      <c r="M31" s="2711"/>
      <c r="N31" s="2711"/>
      <c r="O31" s="2711"/>
      <c r="P31" s="3715"/>
      <c r="Q31" s="1347">
        <f t="shared" si="11"/>
        <v>111</v>
      </c>
      <c r="R31" s="703" t="s">
        <v>14</v>
      </c>
      <c r="S31" s="704">
        <f t="shared" si="12"/>
        <v>100</v>
      </c>
      <c r="T31" s="703" t="s">
        <v>14</v>
      </c>
      <c r="U31" s="704">
        <f t="shared" si="13"/>
        <v>100</v>
      </c>
      <c r="V31" s="703" t="s">
        <v>14</v>
      </c>
      <c r="W31" s="704">
        <f t="shared" si="14"/>
        <v>100</v>
      </c>
      <c r="X31" s="1350"/>
      <c r="Y31" s="3708"/>
      <c r="Z31" s="1351">
        <f t="shared" si="15"/>
        <v>111</v>
      </c>
      <c r="AA31" s="1348">
        <f t="shared" si="3"/>
        <v>1</v>
      </c>
      <c r="AB31" s="1348">
        <f t="shared" si="4"/>
        <v>1</v>
      </c>
      <c r="AC31" s="1348">
        <f t="shared" si="5"/>
        <v>1</v>
      </c>
    </row>
    <row r="32" spans="1:29" ht="15">
      <c r="A32" s="390" t="s">
        <v>1692</v>
      </c>
      <c r="B32" s="63" t="s">
        <v>1782</v>
      </c>
      <c r="C32" s="1905"/>
      <c r="D32" s="417">
        <v>100</v>
      </c>
      <c r="E32" s="1905"/>
      <c r="F32" s="411">
        <f>SUMIF(100:100,E32,101:101)-SUMIF(100:100,C32,101:101)+100</f>
        <v>100</v>
      </c>
      <c r="G32" s="1905"/>
      <c r="H32" s="385">
        <f>SUMIF(100:100,G32,101:101)-SUMIF(100:100,C32,101:101)+100</f>
        <v>100</v>
      </c>
      <c r="I32" s="1905"/>
      <c r="J32" s="417">
        <f>SUMIF(100:100,I32,101:101)-SUMIF(100:100,C32,101:101)+100</f>
        <v>100</v>
      </c>
      <c r="K32" s="560"/>
      <c r="L32" s="2717"/>
      <c r="M32" s="2711"/>
      <c r="N32" s="2711"/>
      <c r="O32" s="2711"/>
      <c r="P32" s="3709" t="s">
        <v>1694</v>
      </c>
      <c r="Q32" s="1347" t="str">
        <f t="shared" si="11"/>
        <v>商业类型</v>
      </c>
      <c r="R32" s="703" t="s">
        <v>14</v>
      </c>
      <c r="S32" s="704">
        <f t="shared" si="12"/>
        <v>100</v>
      </c>
      <c r="T32" s="703" t="s">
        <v>14</v>
      </c>
      <c r="U32" s="704">
        <f t="shared" si="13"/>
        <v>100</v>
      </c>
      <c r="V32" s="703" t="s">
        <v>14</v>
      </c>
      <c r="W32" s="704">
        <f t="shared" si="14"/>
        <v>100</v>
      </c>
      <c r="X32" s="1350"/>
      <c r="Y32" s="3712" t="s">
        <v>1694</v>
      </c>
      <c r="Z32" s="1351" t="str">
        <f t="shared" si="15"/>
        <v>商业类型</v>
      </c>
      <c r="AA32" s="1348">
        <f t="shared" si="3"/>
        <v>1</v>
      </c>
      <c r="AB32" s="1348">
        <f t="shared" si="4"/>
        <v>1</v>
      </c>
      <c r="AC32" s="1348">
        <f t="shared" si="5"/>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6"/>
      <c r="M33" s="2718"/>
      <c r="N33" s="2718"/>
      <c r="O33" s="2718"/>
      <c r="P33" s="3710"/>
      <c r="Q33" s="705" t="str">
        <f t="shared" si="11"/>
        <v>项目建筑规模</v>
      </c>
      <c r="R33" s="706" t="s">
        <v>14</v>
      </c>
      <c r="S33" s="707" t="e">
        <f t="shared" si="12"/>
        <v>#N/A</v>
      </c>
      <c r="T33" s="706" t="s">
        <v>14</v>
      </c>
      <c r="U33" s="707" t="e">
        <f t="shared" si="13"/>
        <v>#N/A</v>
      </c>
      <c r="V33" s="706" t="s">
        <v>14</v>
      </c>
      <c r="W33" s="707" t="e">
        <f t="shared" si="14"/>
        <v>#N/A</v>
      </c>
      <c r="X33" s="708"/>
      <c r="Y33" s="3712"/>
      <c r="Z33" s="709" t="str">
        <f t="shared" si="15"/>
        <v>项目建筑规模</v>
      </c>
      <c r="AA33" s="1348" t="e">
        <f t="shared" si="3"/>
        <v>#N/A</v>
      </c>
      <c r="AB33" s="1348" t="e">
        <f t="shared" si="4"/>
        <v>#N/A</v>
      </c>
      <c r="AC33" s="1348" t="e">
        <f t="shared" si="5"/>
        <v>#N/A</v>
      </c>
    </row>
    <row r="34" spans="1:29" ht="15">
      <c r="A34" s="422"/>
      <c r="B34" s="374" t="s">
        <v>1696</v>
      </c>
      <c r="C34" s="1907"/>
      <c r="D34" s="385">
        <v>100</v>
      </c>
      <c r="E34" s="1907"/>
      <c r="F34" s="411">
        <f>SUMIF(105:105,E34,106:106)-SUMIF(105:105,C34,106:106)+100</f>
        <v>100</v>
      </c>
      <c r="G34" s="1907"/>
      <c r="H34" s="385">
        <f>SUMIF(105:105,G34,106:106)-SUMIF(105:105,C34,106:106)+100</f>
        <v>100</v>
      </c>
      <c r="I34" s="1907"/>
      <c r="J34" s="385">
        <f>SUMIF(105:105,I34,106:106)-SUMIF(105:105,C34,106:106)+100</f>
        <v>100</v>
      </c>
      <c r="K34" s="560"/>
      <c r="L34" s="2717"/>
      <c r="M34" s="2711"/>
      <c r="N34" s="2711"/>
      <c r="O34" s="2711"/>
      <c r="P34" s="3710"/>
      <c r="Q34" s="1347" t="str">
        <f t="shared" si="11"/>
        <v>建筑结构</v>
      </c>
      <c r="R34" s="703" t="s">
        <v>14</v>
      </c>
      <c r="S34" s="704">
        <f t="shared" si="12"/>
        <v>100</v>
      </c>
      <c r="T34" s="703" t="s">
        <v>14</v>
      </c>
      <c r="U34" s="704">
        <f t="shared" si="13"/>
        <v>100</v>
      </c>
      <c r="V34" s="703" t="s">
        <v>14</v>
      </c>
      <c r="W34" s="704">
        <f t="shared" si="14"/>
        <v>100</v>
      </c>
      <c r="X34" s="1350"/>
      <c r="Y34" s="3712"/>
      <c r="Z34" s="1351" t="str">
        <f t="shared" si="15"/>
        <v>建筑结构</v>
      </c>
      <c r="AA34" s="1348">
        <f t="shared" si="3"/>
        <v>1</v>
      </c>
      <c r="AB34" s="1348">
        <f t="shared" si="4"/>
        <v>1</v>
      </c>
      <c r="AC34" s="1348">
        <f t="shared" si="5"/>
        <v>1</v>
      </c>
    </row>
    <row r="35" spans="1:29" ht="15">
      <c r="A35" s="422"/>
      <c r="B35" s="374" t="s">
        <v>1783</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60"/>
      <c r="L35" s="2717"/>
      <c r="M35" s="2711"/>
      <c r="N35" s="2711"/>
      <c r="O35" s="2711"/>
      <c r="P35" s="3710"/>
      <c r="Q35" s="1347" t="str">
        <f t="shared" si="11"/>
        <v>公共部分装修</v>
      </c>
      <c r="R35" s="703" t="s">
        <v>14</v>
      </c>
      <c r="S35" s="704">
        <f t="shared" si="12"/>
        <v>100</v>
      </c>
      <c r="T35" s="703" t="s">
        <v>14</v>
      </c>
      <c r="U35" s="704">
        <f t="shared" si="13"/>
        <v>100</v>
      </c>
      <c r="V35" s="703" t="s">
        <v>14</v>
      </c>
      <c r="W35" s="704">
        <f t="shared" si="14"/>
        <v>100</v>
      </c>
      <c r="X35" s="1350"/>
      <c r="Y35" s="3712"/>
      <c r="Z35" s="1351" t="str">
        <f t="shared" si="15"/>
        <v>公共部分装修</v>
      </c>
      <c r="AA35" s="1348">
        <f t="shared" si="3"/>
        <v>1</v>
      </c>
      <c r="AB35" s="1348">
        <f t="shared" si="4"/>
        <v>1</v>
      </c>
      <c r="AC35" s="1348">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7"/>
      <c r="M36" s="2711"/>
      <c r="N36" s="2711"/>
      <c r="O36" s="2711"/>
      <c r="P36" s="3710"/>
      <c r="Q36" s="1347" t="str">
        <f t="shared" si="11"/>
        <v>成新度</v>
      </c>
      <c r="R36" s="703" t="s">
        <v>14</v>
      </c>
      <c r="S36" s="704" t="e">
        <f t="shared" si="12"/>
        <v>#N/A</v>
      </c>
      <c r="T36" s="703" t="s">
        <v>14</v>
      </c>
      <c r="U36" s="704" t="e">
        <f t="shared" si="13"/>
        <v>#N/A</v>
      </c>
      <c r="V36" s="703" t="s">
        <v>14</v>
      </c>
      <c r="W36" s="704" t="e">
        <f t="shared" si="14"/>
        <v>#N/A</v>
      </c>
      <c r="X36" s="1350"/>
      <c r="Y36" s="3712"/>
      <c r="Z36" s="1351" t="str">
        <f t="shared" si="15"/>
        <v>成新度</v>
      </c>
      <c r="AA36" s="1348" t="e">
        <f t="shared" si="3"/>
        <v>#N/A</v>
      </c>
      <c r="AB36" s="1348" t="e">
        <f t="shared" si="4"/>
        <v>#N/A</v>
      </c>
      <c r="AC36" s="1348" t="e">
        <f t="shared" si="5"/>
        <v>#N/A</v>
      </c>
    </row>
    <row r="37" spans="1:29" s="108" customFormat="1" ht="15">
      <c r="A37" s="423"/>
      <c r="B37" s="374" t="s">
        <v>1785</v>
      </c>
      <c r="C37" s="1901"/>
      <c r="D37" s="126">
        <v>100</v>
      </c>
      <c r="E37" s="1901"/>
      <c r="F37" s="411">
        <f>SUMIF(112:112,E37,113:113)-SUMIF(112:112,C37,113:113)+100</f>
        <v>100</v>
      </c>
      <c r="G37" s="1901"/>
      <c r="H37" s="385">
        <f>SUMIF(112:112,G37,113:113)-SUMIF(112:112,C37,113:113)+100</f>
        <v>100</v>
      </c>
      <c r="I37" s="1901"/>
      <c r="J37" s="385">
        <f>SUMIF(112:112,I37,113:113)-SUMIF(112:112,C37,113:113)+100</f>
        <v>100</v>
      </c>
      <c r="K37" s="560"/>
      <c r="L37" s="2712"/>
      <c r="M37" s="2713"/>
      <c r="N37" s="2713"/>
      <c r="O37" s="2713"/>
      <c r="P37" s="3710"/>
      <c r="Q37" s="1338" t="str">
        <f t="shared" si="11"/>
        <v>市政基础设施</v>
      </c>
      <c r="R37" s="699" t="s">
        <v>14</v>
      </c>
      <c r="S37" s="700">
        <f t="shared" si="12"/>
        <v>100</v>
      </c>
      <c r="T37" s="699" t="s">
        <v>14</v>
      </c>
      <c r="U37" s="700">
        <f t="shared" si="13"/>
        <v>100</v>
      </c>
      <c r="V37" s="699" t="s">
        <v>14</v>
      </c>
      <c r="W37" s="700">
        <f t="shared" si="14"/>
        <v>100</v>
      </c>
      <c r="X37" s="701"/>
      <c r="Y37" s="3712"/>
      <c r="Z37" s="52" t="str">
        <f t="shared" si="15"/>
        <v>市政基础设施</v>
      </c>
      <c r="AA37" s="702">
        <f t="shared" si="3"/>
        <v>1</v>
      </c>
      <c r="AB37" s="702">
        <f t="shared" si="4"/>
        <v>1</v>
      </c>
      <c r="AC37" s="702">
        <f t="shared" si="5"/>
        <v>1</v>
      </c>
    </row>
    <row r="38" spans="1:29" ht="15">
      <c r="A38" s="422"/>
      <c r="B38" s="374" t="s">
        <v>1786</v>
      </c>
      <c r="C38" s="1901"/>
      <c r="D38" s="385">
        <v>100</v>
      </c>
      <c r="E38" s="1901"/>
      <c r="F38" s="411">
        <f>SUMIF(114:114,E38,115:115)-SUMIF(114:114,C38,115:115)+100</f>
        <v>100</v>
      </c>
      <c r="G38" s="1901"/>
      <c r="H38" s="385">
        <f>SUMIF(114:114,G38,115:115)-SUMIF(114:114,C38,115:115)+100</f>
        <v>100</v>
      </c>
      <c r="I38" s="1901"/>
      <c r="J38" s="385">
        <f>SUMIF(114:114,I38,115:115)-SUMIF(114:114,C38,115:115)+100</f>
        <v>100</v>
      </c>
      <c r="K38" s="560"/>
      <c r="L38" s="2717"/>
      <c r="M38" s="2711"/>
      <c r="N38" s="2711"/>
      <c r="O38" s="2711"/>
      <c r="P38" s="3710" t="s">
        <v>1694</v>
      </c>
      <c r="Q38" s="1347" t="str">
        <f t="shared" si="11"/>
        <v>业态</v>
      </c>
      <c r="R38" s="703" t="s">
        <v>14</v>
      </c>
      <c r="S38" s="704">
        <f t="shared" si="12"/>
        <v>100</v>
      </c>
      <c r="T38" s="703" t="s">
        <v>14</v>
      </c>
      <c r="U38" s="704">
        <f t="shared" si="13"/>
        <v>100</v>
      </c>
      <c r="V38" s="703" t="s">
        <v>14</v>
      </c>
      <c r="W38" s="704">
        <f t="shared" si="14"/>
        <v>100</v>
      </c>
      <c r="X38" s="1350"/>
      <c r="Y38" s="3712" t="s">
        <v>1694</v>
      </c>
      <c r="Z38" s="1351" t="str">
        <f t="shared" si="15"/>
        <v>业态</v>
      </c>
      <c r="AA38" s="1348">
        <f t="shared" si="3"/>
        <v>1</v>
      </c>
      <c r="AB38" s="1348">
        <f t="shared" si="4"/>
        <v>1</v>
      </c>
      <c r="AC38" s="1348">
        <f t="shared" si="5"/>
        <v>1</v>
      </c>
    </row>
    <row r="39" spans="1:29" ht="15">
      <c r="A39" s="422"/>
      <c r="B39" s="374" t="s">
        <v>1787</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60"/>
      <c r="L39" s="2717"/>
      <c r="M39" s="2711"/>
      <c r="N39" s="2711"/>
      <c r="O39" s="2711"/>
      <c r="P39" s="3710"/>
      <c r="Q39" s="1347" t="str">
        <f t="shared" si="11"/>
        <v>层高</v>
      </c>
      <c r="R39" s="703" t="s">
        <v>14</v>
      </c>
      <c r="S39" s="704">
        <f t="shared" si="12"/>
        <v>100</v>
      </c>
      <c r="T39" s="703" t="s">
        <v>14</v>
      </c>
      <c r="U39" s="704">
        <f t="shared" si="13"/>
        <v>100</v>
      </c>
      <c r="V39" s="703" t="s">
        <v>14</v>
      </c>
      <c r="W39" s="704">
        <f t="shared" si="14"/>
        <v>100</v>
      </c>
      <c r="X39" s="1350"/>
      <c r="Y39" s="3712"/>
      <c r="Z39" s="1351" t="str">
        <f t="shared" si="15"/>
        <v>层高</v>
      </c>
      <c r="AA39" s="1348">
        <f t="shared" si="3"/>
        <v>1</v>
      </c>
      <c r="AB39" s="1348">
        <f t="shared" si="4"/>
        <v>1</v>
      </c>
      <c r="AC39" s="1348">
        <f t="shared" si="5"/>
        <v>1</v>
      </c>
    </row>
    <row r="40" spans="1:29" ht="15">
      <c r="A40" s="422"/>
      <c r="B40" s="374" t="s">
        <v>1788</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7"/>
      <c r="M40" s="2711"/>
      <c r="N40" s="2711"/>
      <c r="O40" s="2711"/>
      <c r="P40" s="3710"/>
      <c r="Q40" s="1347" t="str">
        <f t="shared" si="11"/>
        <v>单套建筑面积</v>
      </c>
      <c r="R40" s="703" t="s">
        <v>14</v>
      </c>
      <c r="S40" s="704">
        <f t="shared" si="12"/>
        <v>100</v>
      </c>
      <c r="T40" s="703" t="s">
        <v>14</v>
      </c>
      <c r="U40" s="704">
        <f t="shared" si="13"/>
        <v>100</v>
      </c>
      <c r="V40" s="703" t="s">
        <v>14</v>
      </c>
      <c r="W40" s="704">
        <f t="shared" si="14"/>
        <v>100</v>
      </c>
      <c r="X40" s="1350"/>
      <c r="Y40" s="3712"/>
      <c r="Z40" s="1351" t="str">
        <f t="shared" si="15"/>
        <v>单套建筑面积</v>
      </c>
      <c r="AA40" s="1348">
        <f t="shared" si="3"/>
        <v>1</v>
      </c>
      <c r="AB40" s="1348">
        <f t="shared" si="4"/>
        <v>1</v>
      </c>
      <c r="AC40" s="1348">
        <f t="shared" si="5"/>
        <v>1</v>
      </c>
    </row>
    <row r="41" spans="1:29" s="421" customFormat="1" ht="15">
      <c r="A41" s="418"/>
      <c r="B41" s="1349" t="s">
        <v>1789</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6"/>
      <c r="M41" s="2718"/>
      <c r="N41" s="2718"/>
      <c r="O41" s="2718"/>
      <c r="P41" s="3710"/>
      <c r="Q41" s="705" t="str">
        <f t="shared" si="11"/>
        <v>进深比</v>
      </c>
      <c r="R41" s="706" t="s">
        <v>14</v>
      </c>
      <c r="S41" s="707">
        <f t="shared" si="12"/>
        <v>100</v>
      </c>
      <c r="T41" s="706" t="s">
        <v>14</v>
      </c>
      <c r="U41" s="707">
        <f t="shared" si="13"/>
        <v>100</v>
      </c>
      <c r="V41" s="706" t="s">
        <v>14</v>
      </c>
      <c r="W41" s="707">
        <f t="shared" si="14"/>
        <v>100</v>
      </c>
      <c r="X41" s="708"/>
      <c r="Y41" s="3712"/>
      <c r="Z41" s="709" t="str">
        <f t="shared" si="15"/>
        <v>进深比</v>
      </c>
      <c r="AA41" s="1348">
        <f t="shared" si="3"/>
        <v>1</v>
      </c>
      <c r="AB41" s="1348">
        <f t="shared" si="4"/>
        <v>1</v>
      </c>
      <c r="AC41" s="1348">
        <f t="shared" si="5"/>
        <v>1</v>
      </c>
    </row>
    <row r="42" spans="1:29" ht="15">
      <c r="A42" s="422"/>
      <c r="B42" s="374" t="s">
        <v>1790</v>
      </c>
      <c r="C42" s="1901"/>
      <c r="D42" s="385">
        <v>100</v>
      </c>
      <c r="E42" s="1901"/>
      <c r="F42" s="411">
        <f>SUMIF(122:122,E42,123:123)-SUMIF(122:122,C42,123:123)+100</f>
        <v>100</v>
      </c>
      <c r="G42" s="1901"/>
      <c r="H42" s="385">
        <f>SUMIF(122:122,G42,123:123)-SUMIF(122:122,C42,123:123)+100</f>
        <v>100</v>
      </c>
      <c r="I42" s="1901"/>
      <c r="J42" s="385">
        <f>SUMIF(122:122,I42,123:123)-SUMIF(122:122,C42,123:123)+100</f>
        <v>100</v>
      </c>
      <c r="K42" s="560"/>
      <c r="L42" s="2717"/>
      <c r="M42" s="2711"/>
      <c r="N42" s="2711"/>
      <c r="O42" s="2711"/>
      <c r="P42" s="3710"/>
      <c r="Q42" s="1347" t="str">
        <f t="shared" si="11"/>
        <v>内部装修</v>
      </c>
      <c r="R42" s="703" t="s">
        <v>14</v>
      </c>
      <c r="S42" s="704">
        <f t="shared" si="12"/>
        <v>100</v>
      </c>
      <c r="T42" s="703" t="s">
        <v>14</v>
      </c>
      <c r="U42" s="704">
        <f t="shared" si="13"/>
        <v>100</v>
      </c>
      <c r="V42" s="703" t="s">
        <v>14</v>
      </c>
      <c r="W42" s="704">
        <f t="shared" si="14"/>
        <v>100</v>
      </c>
      <c r="X42" s="1350"/>
      <c r="Y42" s="3712"/>
      <c r="Z42" s="1351" t="str">
        <f t="shared" si="15"/>
        <v>内部装修</v>
      </c>
      <c r="AA42" s="1348">
        <f t="shared" si="3"/>
        <v>1</v>
      </c>
      <c r="AB42" s="1348">
        <f t="shared" si="4"/>
        <v>1</v>
      </c>
      <c r="AC42" s="1348">
        <f t="shared" si="5"/>
        <v>1</v>
      </c>
    </row>
    <row r="43" spans="1:29" ht="15">
      <c r="A43" s="422"/>
      <c r="B43" s="374" t="s">
        <v>1705</v>
      </c>
      <c r="C43" s="1901"/>
      <c r="D43" s="385">
        <v>100</v>
      </c>
      <c r="E43" s="1901"/>
      <c r="F43" s="411">
        <f>SUMIF(124:124,E43,125:125)-SUMIF(124:124,C43,125:125)+100</f>
        <v>100</v>
      </c>
      <c r="G43" s="1901"/>
      <c r="H43" s="385">
        <f>SUMIF(124:124,G43,125:125)-SUMIF(124:124,C43,125:125)+100</f>
        <v>100</v>
      </c>
      <c r="I43" s="1901"/>
      <c r="J43" s="385">
        <f>SUMIF(124:124,I43,125:125)-SUMIF(124:124,C43,125:125)+100</f>
        <v>100</v>
      </c>
      <c r="K43" s="560"/>
      <c r="L43" s="2717"/>
      <c r="M43" s="2711"/>
      <c r="N43" s="2711"/>
      <c r="O43" s="2711"/>
      <c r="P43" s="3710"/>
      <c r="Q43" s="1347" t="str">
        <f t="shared" si="11"/>
        <v>内部装修维护情况</v>
      </c>
      <c r="R43" s="703" t="s">
        <v>14</v>
      </c>
      <c r="S43" s="704">
        <f t="shared" si="12"/>
        <v>100</v>
      </c>
      <c r="T43" s="703" t="s">
        <v>14</v>
      </c>
      <c r="U43" s="704">
        <f t="shared" si="13"/>
        <v>100</v>
      </c>
      <c r="V43" s="703" t="s">
        <v>14</v>
      </c>
      <c r="W43" s="704">
        <f t="shared" si="14"/>
        <v>100</v>
      </c>
      <c r="X43" s="1350"/>
      <c r="Y43" s="3712"/>
      <c r="Z43" s="1351" t="str">
        <f t="shared" si="15"/>
        <v>内部装修维护情况</v>
      </c>
      <c r="AA43" s="1348">
        <f t="shared" si="3"/>
        <v>1</v>
      </c>
      <c r="AB43" s="1348">
        <f t="shared" si="4"/>
        <v>1</v>
      </c>
      <c r="AC43" s="1348">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2"/>
      <c r="M44" s="2713"/>
      <c r="N44" s="2713"/>
      <c r="O44" s="2713"/>
      <c r="P44" s="3710"/>
      <c r="Q44" s="1338">
        <f t="shared" si="11"/>
        <v>111</v>
      </c>
      <c r="R44" s="699" t="s">
        <v>14</v>
      </c>
      <c r="S44" s="700">
        <f t="shared" si="12"/>
        <v>100</v>
      </c>
      <c r="T44" s="699" t="s">
        <v>14</v>
      </c>
      <c r="U44" s="700">
        <f t="shared" si="13"/>
        <v>100</v>
      </c>
      <c r="V44" s="699" t="s">
        <v>14</v>
      </c>
      <c r="W44" s="700">
        <f t="shared" si="14"/>
        <v>100</v>
      </c>
      <c r="X44" s="701"/>
      <c r="Y44" s="3712"/>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7"/>
      <c r="M45" s="2711"/>
      <c r="N45" s="2711"/>
      <c r="O45" s="2711"/>
      <c r="P45" s="3710"/>
      <c r="Q45" s="1347">
        <f t="shared" si="11"/>
        <v>111</v>
      </c>
      <c r="R45" s="703" t="s">
        <v>14</v>
      </c>
      <c r="S45" s="704">
        <f t="shared" si="12"/>
        <v>100</v>
      </c>
      <c r="T45" s="703" t="s">
        <v>14</v>
      </c>
      <c r="U45" s="704">
        <f t="shared" si="13"/>
        <v>100</v>
      </c>
      <c r="V45" s="703" t="s">
        <v>14</v>
      </c>
      <c r="W45" s="704">
        <f t="shared" si="14"/>
        <v>100</v>
      </c>
      <c r="X45" s="1350"/>
      <c r="Y45" s="3712"/>
      <c r="Z45" s="1351">
        <f t="shared" si="15"/>
        <v>111</v>
      </c>
      <c r="AA45" s="1348">
        <f t="shared" si="3"/>
        <v>1</v>
      </c>
      <c r="AB45" s="1348">
        <f t="shared" si="4"/>
        <v>1</v>
      </c>
      <c r="AC45" s="1348">
        <f t="shared" si="5"/>
        <v>1</v>
      </c>
    </row>
    <row r="46" spans="1:29" ht="15.75" thickBot="1">
      <c r="A46" s="428"/>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7"/>
      <c r="M46" s="2711"/>
      <c r="N46" s="2711"/>
      <c r="O46" s="2711"/>
      <c r="P46" s="3711"/>
      <c r="Q46" s="1347">
        <f t="shared" si="11"/>
        <v>111</v>
      </c>
      <c r="R46" s="703" t="s">
        <v>14</v>
      </c>
      <c r="S46" s="704">
        <f t="shared" si="12"/>
        <v>100</v>
      </c>
      <c r="T46" s="703" t="s">
        <v>14</v>
      </c>
      <c r="U46" s="704">
        <f t="shared" si="13"/>
        <v>100</v>
      </c>
      <c r="V46" s="703" t="s">
        <v>14</v>
      </c>
      <c r="W46" s="704">
        <f t="shared" si="14"/>
        <v>100</v>
      </c>
      <c r="X46" s="1350"/>
      <c r="Y46" s="3713"/>
      <c r="Z46" s="1351">
        <f t="shared" si="15"/>
        <v>111</v>
      </c>
      <c r="AA46" s="1348">
        <f t="shared" si="3"/>
        <v>1</v>
      </c>
      <c r="AB46" s="1348">
        <f t="shared" si="4"/>
        <v>1</v>
      </c>
      <c r="AC46" s="1348">
        <f t="shared" si="5"/>
        <v>1</v>
      </c>
    </row>
    <row r="47" spans="1:29" ht="15">
      <c r="A47" s="429" t="s">
        <v>1706</v>
      </c>
      <c r="B47" s="430"/>
      <c r="C47" s="1150" t="s">
        <v>0</v>
      </c>
      <c r="D47" s="1151"/>
      <c r="E47" s="1152"/>
      <c r="F47" s="1153"/>
      <c r="G47" s="1154"/>
      <c r="H47" s="1155"/>
      <c r="I47" s="1152"/>
      <c r="J47" s="1155"/>
      <c r="K47" s="712"/>
      <c r="L47" s="2719"/>
      <c r="M47" s="2720"/>
      <c r="N47" s="2711"/>
      <c r="O47" s="2720"/>
      <c r="P47" s="3705" t="str">
        <f>A47</f>
        <v>成交单价（元/平方米）</v>
      </c>
      <c r="Q47" s="3705"/>
      <c r="R47" s="3736">
        <f>E47</f>
        <v>0</v>
      </c>
      <c r="S47" s="3736"/>
      <c r="T47" s="3736">
        <f>G47</f>
        <v>0</v>
      </c>
      <c r="U47" s="3736"/>
      <c r="V47" s="3736">
        <f>I47</f>
        <v>0</v>
      </c>
      <c r="W47" s="3736"/>
      <c r="X47" s="688"/>
      <c r="Y47" s="710"/>
      <c r="Z47" s="688"/>
      <c r="AA47" s="688"/>
      <c r="AB47" s="688"/>
      <c r="AC47" s="688"/>
    </row>
    <row r="48" spans="1:29" ht="15.75" thickBot="1">
      <c r="A48" s="436" t="s">
        <v>1791</v>
      </c>
      <c r="B48" s="437"/>
      <c r="C48" s="1156" t="e">
        <f>R49</f>
        <v>#DIV/0!</v>
      </c>
      <c r="D48" s="2312" t="s">
        <v>2135</v>
      </c>
      <c r="E48" s="1157" t="e">
        <f>R48</f>
        <v>#DIV/0!</v>
      </c>
      <c r="F48" s="2313"/>
      <c r="G48" s="1156" t="e">
        <f>T48</f>
        <v>#DIV/0!</v>
      </c>
      <c r="H48" s="2313"/>
      <c r="I48" s="1157" t="e">
        <f>V48</f>
        <v>#DIV/0!</v>
      </c>
      <c r="J48" s="2313"/>
      <c r="K48" s="2315">
        <f>F48+H48+J48</f>
        <v>0</v>
      </c>
      <c r="L48" s="2719"/>
      <c r="M48" s="2720"/>
      <c r="N48" s="2711"/>
      <c r="O48" s="2720"/>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0" t="s">
        <v>1792</v>
      </c>
      <c r="B49" s="441"/>
      <c r="C49" s="1159" t="e">
        <f>R49</f>
        <v>#DIV/0!</v>
      </c>
      <c r="D49" s="1159"/>
      <c r="E49" s="1159"/>
      <c r="F49" s="1159"/>
      <c r="G49" s="1159"/>
      <c r="H49" s="1159"/>
      <c r="I49" s="1159"/>
      <c r="J49" s="1159"/>
      <c r="K49" s="713"/>
      <c r="L49" s="2719"/>
      <c r="M49" s="2720"/>
      <c r="N49" s="2711"/>
      <c r="O49" s="2720"/>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5" t="s">
        <v>1793</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5" t="s">
        <v>1794</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0" customFormat="1" ht="13.5" customHeight="1">
      <c r="A54" s="2723"/>
      <c r="B54" s="2723"/>
      <c r="C54" s="445" t="s">
        <v>1795</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0"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1796</v>
      </c>
      <c r="B57" s="688"/>
      <c r="C57" s="693"/>
      <c r="D57" s="693"/>
      <c r="E57" s="693"/>
      <c r="F57" s="694"/>
      <c r="G57" s="694"/>
      <c r="H57" s="693"/>
      <c r="I57" s="693"/>
      <c r="J57" s="693"/>
      <c r="K57" s="695"/>
      <c r="L57" s="938"/>
      <c r="M57" s="936"/>
      <c r="N57" s="936"/>
      <c r="O57" s="936"/>
      <c r="P57" s="2733"/>
      <c r="Q57" s="2734"/>
      <c r="R57" s="2720"/>
      <c r="S57" s="2720"/>
      <c r="T57" s="2720"/>
      <c r="U57" s="2720"/>
      <c r="V57" s="2720"/>
      <c r="W57" s="2720"/>
      <c r="X57" s="2720"/>
      <c r="Y57" s="2720"/>
      <c r="Z57" s="2720"/>
      <c r="AA57" s="2720"/>
      <c r="AB57" s="2720"/>
      <c r="AC57" s="2720"/>
    </row>
    <row r="58" spans="1:29" s="456" customFormat="1" ht="15">
      <c r="A58" s="453" t="s">
        <v>1677</v>
      </c>
      <c r="B58" s="454"/>
      <c r="C58" s="1179" t="str">
        <f>YEAR(C7)&amp;"-"&amp;MONTH(C7)</f>
        <v>2024-1</v>
      </c>
      <c r="D58" s="1180">
        <f>EDATE(C58,-1)</f>
        <v>45261</v>
      </c>
      <c r="E58" s="1180">
        <f t="shared" ref="E58:N58" si="16">EDATE(D58,-1)</f>
        <v>45231</v>
      </c>
      <c r="F58" s="1180">
        <f t="shared" si="16"/>
        <v>45200</v>
      </c>
      <c r="G58" s="1180">
        <f t="shared" si="16"/>
        <v>45170</v>
      </c>
      <c r="H58" s="1180">
        <f t="shared" si="16"/>
        <v>45139</v>
      </c>
      <c r="I58" s="1180">
        <f t="shared" si="16"/>
        <v>45108</v>
      </c>
      <c r="J58" s="1180">
        <f t="shared" si="16"/>
        <v>45078</v>
      </c>
      <c r="K58" s="1180">
        <f t="shared" si="16"/>
        <v>45047</v>
      </c>
      <c r="L58" s="1180">
        <f t="shared" si="16"/>
        <v>45017</v>
      </c>
      <c r="M58" s="1180">
        <f t="shared" si="16"/>
        <v>44986</v>
      </c>
      <c r="N58" s="1180">
        <f t="shared" si="16"/>
        <v>44958</v>
      </c>
      <c r="O58" s="1180">
        <f>EDATE(N58,-1)</f>
        <v>44927</v>
      </c>
      <c r="P58" s="2735"/>
      <c r="Q58" s="2736"/>
      <c r="R58" s="2736"/>
      <c r="S58" s="2736"/>
      <c r="T58" s="2736"/>
      <c r="U58" s="2736"/>
      <c r="V58" s="2736"/>
      <c r="W58" s="2736"/>
      <c r="X58" s="2736"/>
      <c r="Y58" s="2736"/>
      <c r="Z58" s="2736"/>
      <c r="AA58" s="2736"/>
      <c r="AB58" s="2736"/>
      <c r="AC58" s="2736"/>
    </row>
    <row r="59" spans="1:29" s="108" customFormat="1" ht="15">
      <c r="A59" s="457"/>
      <c r="B59" s="458"/>
      <c r="C59" s="1178">
        <v>100</v>
      </c>
      <c r="D59" s="460"/>
      <c r="E59" s="460"/>
      <c r="F59" s="460"/>
      <c r="G59" s="460"/>
      <c r="H59" s="460"/>
      <c r="I59" s="460"/>
      <c r="J59" s="460"/>
      <c r="K59" s="460"/>
      <c r="L59" s="460"/>
      <c r="M59" s="461"/>
      <c r="N59" s="460"/>
      <c r="O59" s="461"/>
      <c r="P59" s="2737"/>
      <c r="Q59" s="2656"/>
      <c r="R59" s="2656"/>
      <c r="S59" s="2656"/>
      <c r="T59" s="2656"/>
      <c r="U59" s="2656"/>
      <c r="V59" s="2656"/>
      <c r="W59" s="2656"/>
      <c r="X59" s="2656"/>
      <c r="Y59" s="2656"/>
      <c r="Z59" s="2656"/>
      <c r="AA59" s="2656"/>
      <c r="AB59" s="2656"/>
      <c r="AC59" s="2656"/>
    </row>
    <row r="60" spans="1:29" s="108" customFormat="1" ht="15.75" thickBot="1">
      <c r="A60" s="463" t="s">
        <v>1714</v>
      </c>
      <c r="B60" s="464"/>
      <c r="C60" s="465"/>
      <c r="D60" s="466"/>
      <c r="E60" s="466"/>
      <c r="F60" s="466"/>
      <c r="G60" s="466"/>
      <c r="H60" s="466"/>
      <c r="I60" s="466"/>
      <c r="J60" s="466"/>
      <c r="K60" s="466"/>
      <c r="L60" s="466"/>
      <c r="M60" s="467"/>
      <c r="N60" s="466"/>
      <c r="O60" s="467"/>
      <c r="P60" s="2737"/>
      <c r="Q60" s="2734"/>
      <c r="R60" s="2656"/>
      <c r="S60" s="2656"/>
      <c r="T60" s="2656"/>
      <c r="U60" s="2656"/>
      <c r="V60" s="2656"/>
      <c r="W60" s="2656"/>
      <c r="X60" s="2656"/>
      <c r="Y60" s="2656"/>
      <c r="Z60" s="2656"/>
      <c r="AA60" s="2656"/>
      <c r="AB60" s="2656"/>
      <c r="AC60" s="2656"/>
    </row>
    <row r="61" spans="1:29" s="108" customFormat="1" ht="15">
      <c r="A61" s="469" t="s">
        <v>1679</v>
      </c>
      <c r="B61" s="458"/>
      <c r="C61" s="470" t="s">
        <v>1774</v>
      </c>
      <c r="D61" s="471"/>
      <c r="E61" s="471"/>
      <c r="F61" s="471"/>
      <c r="G61" s="471"/>
      <c r="H61" s="471"/>
      <c r="I61" s="471"/>
      <c r="J61" s="471"/>
      <c r="K61" s="471"/>
      <c r="L61" s="472"/>
      <c r="M61" s="473"/>
      <c r="N61" s="2747"/>
      <c r="O61" s="2747"/>
      <c r="P61" s="2738"/>
      <c r="Q61" s="2734"/>
      <c r="R61" s="2656"/>
      <c r="S61" s="2656"/>
      <c r="T61" s="2656"/>
      <c r="U61" s="2656"/>
      <c r="V61" s="2656"/>
      <c r="W61" s="2656"/>
      <c r="X61" s="2656"/>
      <c r="Y61" s="2656"/>
      <c r="Z61" s="2656"/>
      <c r="AA61" s="2656"/>
      <c r="AB61" s="2656"/>
      <c r="AC61" s="2656"/>
    </row>
    <row r="62" spans="1:29" s="108" customFormat="1" ht="15.75" thickBot="1">
      <c r="A62" s="469"/>
      <c r="B62" s="458"/>
      <c r="C62" s="459">
        <v>100</v>
      </c>
      <c r="D62" s="460"/>
      <c r="E62" s="460"/>
      <c r="F62" s="460"/>
      <c r="G62" s="460"/>
      <c r="H62" s="460"/>
      <c r="I62" s="460"/>
      <c r="J62" s="460"/>
      <c r="K62" s="460"/>
      <c r="L62" s="460"/>
      <c r="M62" s="462"/>
      <c r="N62" s="2747"/>
      <c r="O62" s="2747"/>
      <c r="P62" s="2737"/>
      <c r="Q62" s="2734"/>
      <c r="R62" s="2656"/>
      <c r="S62" s="2656"/>
      <c r="T62" s="2656"/>
      <c r="U62" s="2656"/>
      <c r="V62" s="2656"/>
      <c r="W62" s="2656"/>
      <c r="X62" s="2656"/>
      <c r="Y62" s="2656"/>
      <c r="Z62" s="2656"/>
      <c r="AA62" s="2656"/>
      <c r="AB62" s="2656"/>
      <c r="AC62" s="2656"/>
    </row>
    <row r="63" spans="1:29">
      <c r="A63" s="475" t="s">
        <v>1717</v>
      </c>
      <c r="B63" s="476" t="s">
        <v>1683</v>
      </c>
      <c r="C63" s="477">
        <f>C9</f>
        <v>0</v>
      </c>
      <c r="D63" s="478"/>
      <c r="E63" s="478"/>
      <c r="F63" s="478"/>
      <c r="G63" s="478"/>
      <c r="H63" s="478"/>
      <c r="I63" s="478"/>
      <c r="J63" s="478"/>
      <c r="K63" s="479"/>
      <c r="L63" s="480"/>
      <c r="M63" s="481"/>
      <c r="N63" s="2748"/>
      <c r="O63" s="2748"/>
      <c r="P63" s="2739"/>
      <c r="Q63" s="2734"/>
      <c r="R63" s="2720"/>
      <c r="S63" s="2720"/>
      <c r="T63" s="2720"/>
      <c r="U63" s="2720"/>
      <c r="V63" s="2720"/>
      <c r="W63" s="2720"/>
      <c r="X63" s="2720"/>
      <c r="Y63" s="2720"/>
      <c r="Z63" s="2720"/>
      <c r="AA63" s="2720"/>
      <c r="AB63" s="2720"/>
      <c r="AC63" s="2720"/>
    </row>
    <row r="64" spans="1:29" ht="15.75" thickBot="1">
      <c r="A64" s="482"/>
      <c r="B64" s="483"/>
      <c r="C64" s="484">
        <v>100</v>
      </c>
      <c r="D64" s="484"/>
      <c r="E64" s="484"/>
      <c r="F64" s="484"/>
      <c r="G64" s="484"/>
      <c r="H64" s="484"/>
      <c r="I64" s="484"/>
      <c r="J64" s="484"/>
      <c r="K64" s="484"/>
      <c r="L64" s="484"/>
      <c r="M64" s="485"/>
      <c r="N64" s="2749"/>
      <c r="O64" s="2749"/>
      <c r="P64" s="2739"/>
      <c r="Q64" s="2734"/>
      <c r="R64" s="2720"/>
      <c r="S64" s="2720"/>
      <c r="T64" s="2720"/>
      <c r="U64" s="2720"/>
      <c r="V64" s="2720"/>
      <c r="W64" s="2720"/>
      <c r="X64" s="2720"/>
      <c r="Y64" s="2720"/>
      <c r="Z64" s="2720"/>
      <c r="AA64" s="2720"/>
      <c r="AB64" s="2720"/>
      <c r="AC64" s="2720"/>
    </row>
    <row r="65" spans="1:29" ht="27.75" thickTop="1">
      <c r="A65" s="482"/>
      <c r="B65" s="486" t="s">
        <v>1686</v>
      </c>
      <c r="C65" s="531"/>
      <c r="D65" s="531"/>
      <c r="E65" s="531"/>
      <c r="F65" s="531"/>
      <c r="G65" s="531"/>
      <c r="H65" s="531"/>
      <c r="I65" s="531"/>
      <c r="J65" s="531"/>
      <c r="K65" s="532"/>
      <c r="L65" s="533"/>
      <c r="M65" s="534"/>
      <c r="N65" s="2748"/>
      <c r="O65" s="2748"/>
      <c r="P65" s="2739"/>
      <c r="Q65" s="2734"/>
      <c r="R65" s="2720"/>
      <c r="S65" s="2720"/>
      <c r="T65" s="2720"/>
      <c r="U65" s="2720"/>
      <c r="V65" s="2720"/>
      <c r="W65" s="2720"/>
      <c r="X65" s="2720"/>
      <c r="Y65" s="2720"/>
      <c r="Z65" s="2720"/>
      <c r="AA65" s="2720"/>
      <c r="AB65" s="2720"/>
      <c r="AC65" s="2720"/>
    </row>
    <row r="66" spans="1:29" ht="15.75" thickBot="1">
      <c r="A66" s="482"/>
      <c r="B66" s="491"/>
      <c r="C66" s="484"/>
      <c r="D66" s="484"/>
      <c r="E66" s="484"/>
      <c r="F66" s="484"/>
      <c r="G66" s="484"/>
      <c r="H66" s="484"/>
      <c r="I66" s="484"/>
      <c r="J66" s="484"/>
      <c r="K66" s="484"/>
      <c r="L66" s="484"/>
      <c r="M66" s="485"/>
      <c r="N66" s="2749"/>
      <c r="O66" s="2749"/>
      <c r="P66" s="2739"/>
      <c r="Q66" s="2734"/>
      <c r="R66" s="2720"/>
      <c r="S66" s="2720"/>
      <c r="T66" s="2720"/>
      <c r="U66" s="2720"/>
      <c r="V66" s="2720"/>
      <c r="W66" s="2720"/>
      <c r="X66" s="2720"/>
      <c r="Y66" s="2720"/>
      <c r="Z66" s="2720"/>
      <c r="AA66" s="2720"/>
      <c r="AB66" s="2720"/>
      <c r="AC66" s="2720"/>
    </row>
    <row r="67" spans="1:29" ht="15.75" thickTop="1">
      <c r="A67" s="482"/>
      <c r="B67" s="494" t="s">
        <v>1687</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2"/>
      <c r="B68" s="496"/>
      <c r="C68" s="497"/>
      <c r="D68" s="497"/>
      <c r="E68" s="497"/>
      <c r="F68" s="497"/>
      <c r="G68" s="497"/>
      <c r="H68" s="497"/>
      <c r="I68" s="497"/>
      <c r="J68" s="497"/>
      <c r="K68" s="498"/>
      <c r="L68" s="499"/>
      <c r="M68" s="500"/>
      <c r="N68" s="2748"/>
      <c r="O68" s="2748"/>
      <c r="P68" s="2739"/>
      <c r="Q68" s="2734"/>
      <c r="R68" s="2720"/>
      <c r="S68" s="2720"/>
      <c r="T68" s="2720"/>
      <c r="U68" s="2720"/>
      <c r="V68" s="2720"/>
      <c r="W68" s="2720"/>
      <c r="X68" s="2720"/>
      <c r="Y68" s="2720"/>
      <c r="Z68" s="2720"/>
      <c r="AA68" s="2720"/>
      <c r="AB68" s="2720"/>
      <c r="AC68" s="2720"/>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9"/>
      <c r="O69" s="2749"/>
      <c r="P69" s="2739"/>
      <c r="Q69" s="2734"/>
      <c r="R69" s="2720"/>
      <c r="S69" s="2720"/>
      <c r="T69" s="2720"/>
      <c r="U69" s="2720"/>
      <c r="V69" s="2720"/>
      <c r="W69" s="2720"/>
      <c r="X69" s="2720"/>
      <c r="Y69" s="2720"/>
      <c r="Z69" s="2720"/>
      <c r="AA69" s="2720"/>
      <c r="AB69" s="2720"/>
      <c r="AC69" s="2720"/>
    </row>
    <row r="70" spans="1:29" s="421" customFormat="1" ht="15.75" thickTop="1">
      <c r="A70" s="501"/>
      <c r="B70" s="486">
        <f>B12</f>
        <v>111</v>
      </c>
      <c r="C70" s="502"/>
      <c r="D70" s="502"/>
      <c r="E70" s="502"/>
      <c r="F70" s="502"/>
      <c r="G70" s="502"/>
      <c r="H70" s="503"/>
      <c r="I70" s="503"/>
      <c r="J70" s="503"/>
      <c r="K70" s="503"/>
      <c r="L70" s="504"/>
      <c r="M70" s="505"/>
      <c r="N70" s="2750"/>
      <c r="O70" s="2750"/>
      <c r="P70" s="2740"/>
      <c r="Q70" s="2741"/>
      <c r="R70" s="2742"/>
      <c r="S70" s="2742"/>
      <c r="T70" s="2742"/>
      <c r="U70" s="2742"/>
      <c r="V70" s="2742"/>
      <c r="W70" s="2742"/>
      <c r="X70" s="2742"/>
      <c r="Y70" s="2742"/>
      <c r="Z70" s="2742"/>
      <c r="AA70" s="2742"/>
      <c r="AB70" s="2742"/>
      <c r="AC70" s="2742"/>
    </row>
    <row r="71" spans="1:29" s="421" customFormat="1" ht="15.75" thickBot="1">
      <c r="A71" s="501"/>
      <c r="B71" s="491"/>
      <c r="C71" s="508"/>
      <c r="D71" s="484"/>
      <c r="E71" s="484"/>
      <c r="F71" s="484"/>
      <c r="G71" s="484"/>
      <c r="H71" s="484"/>
      <c r="I71" s="484"/>
      <c r="J71" s="484"/>
      <c r="K71" s="484"/>
      <c r="L71" s="484"/>
      <c r="M71" s="485"/>
      <c r="N71" s="2749"/>
      <c r="O71" s="2749"/>
      <c r="P71" s="2740"/>
      <c r="Q71" s="2741"/>
      <c r="R71" s="2742"/>
      <c r="S71" s="2742"/>
      <c r="T71" s="2742"/>
      <c r="U71" s="2742"/>
      <c r="V71" s="2742"/>
      <c r="W71" s="2742"/>
      <c r="X71" s="2742"/>
      <c r="Y71" s="2742"/>
      <c r="Z71" s="2742"/>
      <c r="AA71" s="2742"/>
      <c r="AB71" s="2742"/>
      <c r="AC71" s="2742"/>
    </row>
    <row r="72" spans="1:29" s="421" customFormat="1" ht="15.75" thickTop="1">
      <c r="A72" s="501"/>
      <c r="B72" s="486">
        <f>B13</f>
        <v>111</v>
      </c>
      <c r="C72" s="502"/>
      <c r="D72" s="502"/>
      <c r="E72" s="502"/>
      <c r="F72" s="502"/>
      <c r="G72" s="502"/>
      <c r="H72" s="503"/>
      <c r="I72" s="503"/>
      <c r="J72" s="503"/>
      <c r="K72" s="503"/>
      <c r="L72" s="504"/>
      <c r="M72" s="505"/>
      <c r="N72" s="2750"/>
      <c r="O72" s="2750"/>
      <c r="P72" s="2743"/>
      <c r="Q72" s="2744"/>
      <c r="R72" s="2742"/>
      <c r="S72" s="2742"/>
      <c r="T72" s="2742"/>
      <c r="U72" s="2742"/>
      <c r="V72" s="2742"/>
      <c r="W72" s="2742"/>
      <c r="X72" s="2742"/>
      <c r="Y72" s="2742"/>
      <c r="Z72" s="2742"/>
      <c r="AA72" s="2742"/>
      <c r="AB72" s="2742"/>
      <c r="AC72" s="2742"/>
    </row>
    <row r="73" spans="1:29" s="421" customFormat="1" ht="15.75" thickBot="1">
      <c r="A73" s="501"/>
      <c r="B73" s="491"/>
      <c r="C73" s="508"/>
      <c r="D73" s="484"/>
      <c r="E73" s="484"/>
      <c r="F73" s="484"/>
      <c r="G73" s="508"/>
      <c r="H73" s="510"/>
      <c r="I73" s="510"/>
      <c r="J73" s="510"/>
      <c r="K73" s="510"/>
      <c r="L73" s="510"/>
      <c r="M73" s="511"/>
      <c r="N73" s="2750"/>
      <c r="O73" s="2750"/>
      <c r="P73" s="2740"/>
      <c r="Q73" s="2741"/>
      <c r="R73" s="2742"/>
      <c r="S73" s="2742"/>
      <c r="T73" s="2742"/>
      <c r="U73" s="2742"/>
      <c r="V73" s="2742"/>
      <c r="W73" s="2742"/>
      <c r="X73" s="2742"/>
      <c r="Y73" s="2742"/>
      <c r="Z73" s="2742"/>
      <c r="AA73" s="2742"/>
      <c r="AB73" s="2742"/>
      <c r="AC73" s="2742"/>
    </row>
    <row r="74" spans="1:29" s="421" customFormat="1" ht="15.75" thickTop="1">
      <c r="A74" s="501"/>
      <c r="B74" s="494">
        <f>B14</f>
        <v>111</v>
      </c>
      <c r="C74" s="502"/>
      <c r="D74" s="502"/>
      <c r="E74" s="502"/>
      <c r="F74" s="502"/>
      <c r="G74" s="471"/>
      <c r="H74" s="512"/>
      <c r="I74" s="512"/>
      <c r="J74" s="512"/>
      <c r="K74" s="512"/>
      <c r="L74" s="513"/>
      <c r="M74" s="514"/>
      <c r="N74" s="2750"/>
      <c r="O74" s="2750"/>
      <c r="P74" s="2745"/>
      <c r="Q74" s="2741"/>
      <c r="R74" s="2742"/>
      <c r="S74" s="2742"/>
      <c r="T74" s="2742"/>
      <c r="U74" s="2742"/>
      <c r="V74" s="2742"/>
      <c r="W74" s="2742"/>
      <c r="X74" s="2742"/>
      <c r="Y74" s="2742"/>
      <c r="Z74" s="2742"/>
      <c r="AA74" s="2742"/>
      <c r="AB74" s="2742"/>
      <c r="AC74" s="2742"/>
    </row>
    <row r="75" spans="1:29" s="421" customFormat="1" ht="15.75" thickBot="1">
      <c r="A75" s="516"/>
      <c r="B75" s="517"/>
      <c r="C75" s="518"/>
      <c r="D75" s="518"/>
      <c r="E75" s="518"/>
      <c r="F75" s="518"/>
      <c r="G75" s="518"/>
      <c r="H75" s="519"/>
      <c r="I75" s="519"/>
      <c r="J75" s="519"/>
      <c r="K75" s="519"/>
      <c r="L75" s="519"/>
      <c r="M75" s="520"/>
      <c r="N75" s="2750"/>
      <c r="O75" s="2750"/>
      <c r="P75" s="2740"/>
      <c r="Q75" s="2741"/>
      <c r="R75" s="2742"/>
      <c r="S75" s="2742"/>
      <c r="T75" s="2742"/>
      <c r="U75" s="2742"/>
      <c r="V75" s="2742"/>
      <c r="W75" s="2742"/>
      <c r="X75" s="2742"/>
      <c r="Y75" s="2742"/>
      <c r="Z75" s="2742"/>
      <c r="AA75" s="2742"/>
      <c r="AB75" s="2742"/>
      <c r="AC75" s="2742"/>
    </row>
    <row r="76" spans="1:29">
      <c r="A76" s="475" t="s">
        <v>1688</v>
      </c>
      <c r="B76" s="476" t="s">
        <v>1718</v>
      </c>
      <c r="C76" s="521" t="s">
        <v>1719</v>
      </c>
      <c r="D76" s="521" t="s">
        <v>1720</v>
      </c>
      <c r="E76" s="521" t="s">
        <v>1721</v>
      </c>
      <c r="F76" s="521" t="s">
        <v>1722</v>
      </c>
      <c r="G76" s="521" t="s">
        <v>1723</v>
      </c>
      <c r="H76" s="477"/>
      <c r="I76" s="477"/>
      <c r="J76" s="477"/>
      <c r="K76" s="522"/>
      <c r="L76" s="523"/>
      <c r="M76" s="524"/>
      <c r="N76" s="2748"/>
      <c r="O76" s="2748"/>
      <c r="P76" s="2746"/>
      <c r="Q76" s="2734"/>
      <c r="R76" s="2720"/>
      <c r="S76" s="2720"/>
      <c r="T76" s="2720"/>
      <c r="U76" s="2720"/>
      <c r="V76" s="2720"/>
      <c r="W76" s="2720"/>
      <c r="X76" s="2720"/>
      <c r="Y76" s="2720"/>
      <c r="Z76" s="2720"/>
      <c r="AA76" s="2720"/>
      <c r="AB76" s="2720"/>
      <c r="AC76" s="2720"/>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9"/>
      <c r="O77" s="2749"/>
      <c r="P77" s="2739"/>
      <c r="Q77" s="2734"/>
      <c r="R77" s="2720"/>
      <c r="S77" s="2720"/>
      <c r="T77" s="2720"/>
      <c r="U77" s="2720"/>
      <c r="V77" s="2720"/>
      <c r="W77" s="2720"/>
      <c r="X77" s="2720"/>
      <c r="Y77" s="2720"/>
      <c r="Z77" s="2720"/>
      <c r="AA77" s="2720"/>
      <c r="AB77" s="2720"/>
      <c r="AC77" s="2720"/>
    </row>
    <row r="78" spans="1:29" ht="15.75" thickTop="1">
      <c r="A78" s="482"/>
      <c r="B78" s="486" t="s">
        <v>1724</v>
      </c>
      <c r="C78" s="526" t="s">
        <v>1719</v>
      </c>
      <c r="D78" s="526" t="s">
        <v>1720</v>
      </c>
      <c r="E78" s="526" t="s">
        <v>1721</v>
      </c>
      <c r="F78" s="526" t="s">
        <v>1722</v>
      </c>
      <c r="G78" s="526" t="s">
        <v>1723</v>
      </c>
      <c r="H78" s="487"/>
      <c r="I78" s="487"/>
      <c r="J78" s="487"/>
      <c r="K78" s="488"/>
      <c r="L78" s="489"/>
      <c r="M78" s="490"/>
      <c r="N78" s="2748"/>
      <c r="O78" s="2748"/>
      <c r="P78" s="2739"/>
      <c r="Q78" s="2734"/>
      <c r="R78" s="2720"/>
      <c r="S78" s="2720"/>
      <c r="T78" s="2720"/>
      <c r="U78" s="2720"/>
      <c r="V78" s="2720"/>
      <c r="W78" s="2720"/>
      <c r="X78" s="2720"/>
      <c r="Y78" s="2720"/>
      <c r="Z78" s="2720"/>
      <c r="AA78" s="2720"/>
      <c r="AB78" s="2720"/>
      <c r="AC78" s="2720"/>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9"/>
      <c r="O79" s="2749"/>
      <c r="P79" s="2739"/>
      <c r="Q79" s="2734"/>
      <c r="R79" s="2720"/>
      <c r="S79" s="2720"/>
      <c r="T79" s="2720"/>
      <c r="U79" s="2720"/>
      <c r="V79" s="2720"/>
      <c r="W79" s="2720"/>
      <c r="X79" s="2720"/>
      <c r="Y79" s="2720"/>
      <c r="Z79" s="2720"/>
      <c r="AA79" s="2720"/>
      <c r="AB79" s="2720"/>
      <c r="AC79" s="2720"/>
    </row>
    <row r="80" spans="1:29" ht="15.75" thickTop="1">
      <c r="A80" s="482"/>
      <c r="B80" s="486" t="s">
        <v>1725</v>
      </c>
      <c r="C80" s="526" t="s">
        <v>1719</v>
      </c>
      <c r="D80" s="526" t="s">
        <v>1720</v>
      </c>
      <c r="E80" s="526" t="s">
        <v>1721</v>
      </c>
      <c r="F80" s="526" t="s">
        <v>1722</v>
      </c>
      <c r="G80" s="526" t="s">
        <v>1723</v>
      </c>
      <c r="H80" s="487"/>
      <c r="I80" s="487"/>
      <c r="J80" s="487"/>
      <c r="K80" s="488"/>
      <c r="L80" s="489"/>
      <c r="M80" s="490"/>
      <c r="N80" s="2748"/>
      <c r="O80" s="2748"/>
      <c r="P80" s="2739"/>
      <c r="Q80" s="2734"/>
      <c r="R80" s="2720"/>
      <c r="S80" s="2720"/>
      <c r="T80" s="2720"/>
      <c r="U80" s="2720"/>
      <c r="V80" s="2720"/>
      <c r="W80" s="2720"/>
      <c r="X80" s="2720"/>
      <c r="Y80" s="2720"/>
      <c r="Z80" s="2720"/>
      <c r="AA80" s="2720"/>
      <c r="AB80" s="2720"/>
      <c r="AC80" s="2720"/>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9"/>
      <c r="O81" s="2749"/>
      <c r="P81" s="2739"/>
      <c r="Q81" s="2734"/>
      <c r="R81" s="2720"/>
      <c r="S81" s="2720"/>
      <c r="T81" s="2720"/>
      <c r="U81" s="2720"/>
      <c r="V81" s="2720"/>
      <c r="W81" s="2720"/>
      <c r="X81" s="2720"/>
      <c r="Y81" s="2720"/>
      <c r="Z81" s="2720"/>
      <c r="AA81" s="2720"/>
      <c r="AB81" s="2720"/>
      <c r="AC81" s="2720"/>
    </row>
    <row r="82" spans="1:29" ht="15.75" thickTop="1">
      <c r="A82" s="482"/>
      <c r="B82" s="494" t="s">
        <v>1777</v>
      </c>
      <c r="C82" s="607" t="s">
        <v>1797</v>
      </c>
      <c r="D82" s="607" t="s">
        <v>1798</v>
      </c>
      <c r="E82" s="607" t="s">
        <v>1799</v>
      </c>
      <c r="F82" s="607" t="s">
        <v>1800</v>
      </c>
      <c r="G82" s="607" t="s">
        <v>1801</v>
      </c>
      <c r="H82" s="487"/>
      <c r="I82" s="487"/>
      <c r="J82" s="487"/>
      <c r="K82" s="487"/>
      <c r="L82" s="487"/>
      <c r="M82" s="1125"/>
      <c r="N82" s="2749"/>
      <c r="O82" s="2749"/>
      <c r="P82" s="2739"/>
      <c r="Q82" s="2734"/>
      <c r="R82" s="2720"/>
      <c r="S82" s="2720"/>
      <c r="T82" s="2720"/>
      <c r="U82" s="2720"/>
      <c r="V82" s="2720"/>
      <c r="W82" s="2720"/>
      <c r="X82" s="2720"/>
      <c r="Y82" s="2720"/>
      <c r="Z82" s="2720"/>
      <c r="AA82" s="2720"/>
      <c r="AB82" s="2720"/>
      <c r="AC82" s="2720"/>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9"/>
      <c r="O83" s="2749"/>
      <c r="P83" s="2739"/>
      <c r="Q83" s="2734"/>
      <c r="R83" s="2720"/>
      <c r="S83" s="2720"/>
      <c r="T83" s="2720"/>
      <c r="U83" s="2720"/>
      <c r="V83" s="2720"/>
      <c r="W83" s="2720"/>
      <c r="X83" s="2720"/>
      <c r="Y83" s="2720"/>
      <c r="Z83" s="2720"/>
      <c r="AA83" s="2720"/>
      <c r="AB83" s="2720"/>
      <c r="AC83" s="2720"/>
    </row>
    <row r="84" spans="1:29" ht="15.75" thickTop="1">
      <c r="A84" s="482"/>
      <c r="B84" s="486" t="s">
        <v>1731</v>
      </c>
      <c r="C84" s="526" t="s">
        <v>1719</v>
      </c>
      <c r="D84" s="526" t="s">
        <v>1720</v>
      </c>
      <c r="E84" s="526" t="s">
        <v>1721</v>
      </c>
      <c r="F84" s="526" t="s">
        <v>1722</v>
      </c>
      <c r="G84" s="526" t="s">
        <v>1723</v>
      </c>
      <c r="H84" s="487"/>
      <c r="I84" s="487"/>
      <c r="J84" s="487"/>
      <c r="K84" s="488"/>
      <c r="L84" s="489"/>
      <c r="M84" s="490"/>
      <c r="N84" s="2748"/>
      <c r="O84" s="2748"/>
      <c r="P84" s="2739"/>
      <c r="Q84" s="2734"/>
      <c r="R84" s="2720"/>
      <c r="S84" s="2720"/>
      <c r="T84" s="2720"/>
      <c r="U84" s="2720"/>
      <c r="V84" s="2720"/>
      <c r="W84" s="2720"/>
      <c r="X84" s="2720"/>
      <c r="Y84" s="2720"/>
      <c r="Z84" s="2720"/>
      <c r="AA84" s="2720"/>
      <c r="AB84" s="2720"/>
      <c r="AC84" s="2720"/>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9"/>
      <c r="O85" s="2749"/>
      <c r="P85" s="2739"/>
      <c r="Q85" s="2734"/>
      <c r="R85" s="2720"/>
      <c r="S85" s="2720"/>
      <c r="T85" s="2720"/>
      <c r="U85" s="2720"/>
      <c r="V85" s="2720"/>
      <c r="W85" s="2720"/>
      <c r="X85" s="2720"/>
      <c r="Y85" s="2720"/>
      <c r="Z85" s="2720"/>
      <c r="AA85" s="2720"/>
      <c r="AB85" s="2720"/>
      <c r="AC85" s="2720"/>
    </row>
    <row r="86" spans="1:29" s="108" customFormat="1" ht="15.75" thickTop="1">
      <c r="A86" s="527"/>
      <c r="B86" s="486" t="s">
        <v>1802</v>
      </c>
      <c r="C86" s="502"/>
      <c r="D86" s="502"/>
      <c r="E86" s="502"/>
      <c r="F86" s="502"/>
      <c r="G86" s="502"/>
      <c r="H86" s="502"/>
      <c r="I86" s="502"/>
      <c r="J86" s="502"/>
      <c r="K86" s="502"/>
      <c r="L86" s="528"/>
      <c r="M86" s="529"/>
      <c r="N86" s="2747"/>
      <c r="O86" s="2747"/>
      <c r="P86" s="2739"/>
      <c r="Q86" s="2734"/>
      <c r="R86" s="2656"/>
      <c r="S86" s="2656"/>
      <c r="T86" s="2656"/>
      <c r="U86" s="2656"/>
      <c r="V86" s="2656"/>
      <c r="W86" s="2656"/>
      <c r="X86" s="2656"/>
      <c r="Y86" s="2656"/>
      <c r="Z86" s="2656"/>
      <c r="AA86" s="2656"/>
      <c r="AB86" s="2656"/>
      <c r="AC86" s="2656"/>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7"/>
      <c r="B88" s="486" t="str">
        <f>B26</f>
        <v>平面位置/可视性</v>
      </c>
      <c r="C88" s="502"/>
      <c r="D88" s="502"/>
      <c r="E88" s="502"/>
      <c r="F88" s="1922"/>
      <c r="G88" s="502"/>
      <c r="H88" s="502"/>
      <c r="I88" s="502"/>
      <c r="J88" s="502"/>
      <c r="K88" s="502"/>
      <c r="L88" s="502"/>
      <c r="M88" s="529"/>
      <c r="N88" s="2747"/>
      <c r="O88" s="2747"/>
      <c r="P88" s="2739"/>
      <c r="Q88" s="2734"/>
      <c r="R88" s="2656"/>
      <c r="S88" s="2656"/>
      <c r="T88" s="2656"/>
      <c r="U88" s="2656"/>
      <c r="V88" s="2656"/>
      <c r="W88" s="2656"/>
      <c r="X88" s="2656"/>
      <c r="Y88" s="2656"/>
      <c r="Z88" s="2656"/>
      <c r="AA88" s="2656"/>
      <c r="AB88" s="2656"/>
      <c r="AC88" s="2656"/>
    </row>
    <row r="89" spans="1:29" s="108" customFormat="1" ht="15.75" thickBot="1">
      <c r="A89" s="527"/>
      <c r="B89" s="491"/>
      <c r="C89" s="508"/>
      <c r="D89" s="484"/>
      <c r="E89" s="484"/>
      <c r="F89" s="484"/>
      <c r="G89" s="484"/>
      <c r="H89" s="484"/>
      <c r="I89" s="484"/>
      <c r="J89" s="484"/>
      <c r="K89" s="484"/>
      <c r="L89" s="484"/>
      <c r="M89" s="484"/>
      <c r="N89" s="2749"/>
      <c r="O89" s="2749"/>
      <c r="P89" s="2739"/>
      <c r="Q89" s="2734"/>
      <c r="R89" s="2656"/>
      <c r="S89" s="2656"/>
      <c r="T89" s="2656"/>
      <c r="U89" s="2656"/>
      <c r="V89" s="2656"/>
      <c r="W89" s="2656"/>
      <c r="X89" s="2656"/>
      <c r="Y89" s="2656"/>
      <c r="Z89" s="2656"/>
      <c r="AA89" s="2656"/>
      <c r="AB89" s="2656"/>
      <c r="AC89" s="2656"/>
    </row>
    <row r="90" spans="1:29" s="421" customFormat="1" ht="15.75" thickTop="1">
      <c r="A90" s="501"/>
      <c r="B90" s="486" t="str">
        <f>B27</f>
        <v>人流量</v>
      </c>
      <c r="C90" s="502"/>
      <c r="D90" s="502"/>
      <c r="E90" s="502"/>
      <c r="F90" s="502"/>
      <c r="G90" s="502"/>
      <c r="H90" s="503"/>
      <c r="I90" s="503"/>
      <c r="J90" s="503"/>
      <c r="K90" s="503"/>
      <c r="L90" s="504"/>
      <c r="M90" s="505"/>
      <c r="N90" s="2750"/>
      <c r="O90" s="2750"/>
      <c r="P90" s="2740"/>
      <c r="Q90" s="2741"/>
      <c r="R90" s="2742"/>
      <c r="S90" s="2742"/>
      <c r="T90" s="2742"/>
      <c r="U90" s="2742"/>
      <c r="V90" s="2742"/>
      <c r="W90" s="2742"/>
      <c r="X90" s="2742"/>
      <c r="Y90" s="2742"/>
      <c r="Z90" s="2742"/>
      <c r="AA90" s="2742"/>
      <c r="AB90" s="2742"/>
      <c r="AC90" s="2742"/>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2"/>
      <c r="B92" s="486" t="str">
        <f>B28</f>
        <v>楼层</v>
      </c>
      <c r="C92" s="502"/>
      <c r="D92" s="502"/>
      <c r="E92" s="502"/>
      <c r="F92" s="502"/>
      <c r="G92" s="502"/>
      <c r="H92" s="502"/>
      <c r="I92" s="502"/>
      <c r="J92" s="502"/>
      <c r="K92" s="502"/>
      <c r="L92" s="528"/>
      <c r="M92" s="529"/>
      <c r="N92" s="2748"/>
      <c r="O92" s="2748"/>
      <c r="P92" s="2739"/>
      <c r="Q92" s="2734"/>
      <c r="R92" s="2720"/>
      <c r="S92" s="2720"/>
      <c r="T92" s="2720"/>
      <c r="U92" s="2720"/>
      <c r="V92" s="2720"/>
      <c r="W92" s="2720"/>
      <c r="X92" s="2720"/>
      <c r="Y92" s="2720"/>
      <c r="Z92" s="2720"/>
      <c r="AA92" s="2720"/>
      <c r="AB92" s="2720"/>
      <c r="AC92" s="2720"/>
    </row>
    <row r="93" spans="1:29" ht="15.75" thickBot="1">
      <c r="A93" s="482"/>
      <c r="B93" s="491"/>
      <c r="C93" s="484"/>
      <c r="D93" s="484"/>
      <c r="E93" s="484"/>
      <c r="F93" s="484"/>
      <c r="G93" s="484"/>
      <c r="H93" s="484"/>
      <c r="I93" s="484"/>
      <c r="J93" s="484"/>
      <c r="K93" s="484"/>
      <c r="L93" s="484"/>
      <c r="M93" s="485"/>
      <c r="N93" s="2749"/>
      <c r="O93" s="2749"/>
      <c r="P93" s="2739"/>
      <c r="Q93" s="2734"/>
      <c r="R93" s="2720"/>
      <c r="S93" s="2720"/>
      <c r="T93" s="2720"/>
      <c r="U93" s="2720"/>
      <c r="V93" s="2720"/>
      <c r="W93" s="2720"/>
      <c r="X93" s="2720"/>
      <c r="Y93" s="2720"/>
      <c r="Z93" s="2720"/>
      <c r="AA93" s="2720"/>
      <c r="AB93" s="2720"/>
      <c r="AC93" s="2720"/>
    </row>
    <row r="94" spans="1:29" ht="15.75" thickTop="1">
      <c r="A94" s="482"/>
      <c r="B94" s="486">
        <f>B29</f>
        <v>111</v>
      </c>
      <c r="C94" s="502"/>
      <c r="D94" s="502"/>
      <c r="E94" s="502"/>
      <c r="F94" s="502"/>
      <c r="G94" s="531"/>
      <c r="H94" s="531"/>
      <c r="I94" s="531"/>
      <c r="J94" s="531"/>
      <c r="K94" s="532"/>
      <c r="L94" s="533"/>
      <c r="M94" s="534"/>
      <c r="N94" s="2748"/>
      <c r="O94" s="2748"/>
      <c r="P94" s="2739"/>
      <c r="Q94" s="2734"/>
      <c r="R94" s="2720"/>
      <c r="S94" s="2720"/>
      <c r="T94" s="2720"/>
      <c r="U94" s="2720"/>
      <c r="V94" s="2720"/>
      <c r="W94" s="2720"/>
      <c r="X94" s="2720"/>
      <c r="Y94" s="2720"/>
      <c r="Z94" s="2720"/>
      <c r="AA94" s="2720"/>
      <c r="AB94" s="2720"/>
      <c r="AC94" s="2720"/>
    </row>
    <row r="95" spans="1:29" ht="15.75" thickBot="1">
      <c r="A95" s="482"/>
      <c r="B95" s="491"/>
      <c r="C95" s="508"/>
      <c r="D95" s="484"/>
      <c r="E95" s="484"/>
      <c r="F95" s="484"/>
      <c r="G95" s="484"/>
      <c r="H95" s="484"/>
      <c r="I95" s="484"/>
      <c r="J95" s="484"/>
      <c r="K95" s="484"/>
      <c r="L95" s="484"/>
      <c r="M95" s="485"/>
      <c r="N95" s="2749"/>
      <c r="O95" s="2749"/>
      <c r="P95" s="2739"/>
      <c r="Q95" s="2734"/>
      <c r="R95" s="2720"/>
      <c r="S95" s="2720"/>
      <c r="T95" s="2720"/>
      <c r="U95" s="2720"/>
      <c r="V95" s="2720"/>
      <c r="W95" s="2720"/>
      <c r="X95" s="2720"/>
      <c r="Y95" s="2720"/>
      <c r="Z95" s="2720"/>
      <c r="AA95" s="2720"/>
      <c r="AB95" s="2720"/>
      <c r="AC95" s="2720"/>
    </row>
    <row r="96" spans="1:29" ht="15.75" thickTop="1">
      <c r="A96" s="482"/>
      <c r="B96" s="486">
        <f>B30</f>
        <v>111</v>
      </c>
      <c r="C96" s="502"/>
      <c r="D96" s="502"/>
      <c r="E96" s="502"/>
      <c r="F96" s="502"/>
      <c r="G96" s="531"/>
      <c r="H96" s="531"/>
      <c r="I96" s="531"/>
      <c r="J96" s="531"/>
      <c r="K96" s="532"/>
      <c r="L96" s="533"/>
      <c r="M96" s="534"/>
      <c r="N96" s="2748"/>
      <c r="O96" s="2748"/>
      <c r="P96" s="2739"/>
      <c r="Q96" s="2734"/>
      <c r="R96" s="2720"/>
      <c r="S96" s="2720"/>
      <c r="T96" s="2720"/>
      <c r="U96" s="2720"/>
      <c r="V96" s="2720"/>
      <c r="W96" s="2720"/>
      <c r="X96" s="2720"/>
      <c r="Y96" s="2720"/>
      <c r="Z96" s="2720"/>
      <c r="AA96" s="2720"/>
      <c r="AB96" s="2720"/>
      <c r="AC96" s="2720"/>
    </row>
    <row r="97" spans="1:29" ht="15.75" thickBot="1">
      <c r="A97" s="482"/>
      <c r="B97" s="491"/>
      <c r="C97" s="508"/>
      <c r="D97" s="484"/>
      <c r="E97" s="484"/>
      <c r="F97" s="484"/>
      <c r="G97" s="484"/>
      <c r="H97" s="484"/>
      <c r="I97" s="484"/>
      <c r="J97" s="484"/>
      <c r="K97" s="484"/>
      <c r="L97" s="484"/>
      <c r="M97" s="485"/>
      <c r="N97" s="2749"/>
      <c r="O97" s="2749"/>
      <c r="P97" s="2739"/>
      <c r="Q97" s="2734"/>
      <c r="R97" s="2720"/>
      <c r="S97" s="2720"/>
      <c r="T97" s="2720"/>
      <c r="U97" s="2720"/>
      <c r="V97" s="2720"/>
      <c r="W97" s="2720"/>
      <c r="X97" s="2720"/>
      <c r="Y97" s="2720"/>
      <c r="Z97" s="2720"/>
      <c r="AA97" s="2720"/>
      <c r="AB97" s="2720"/>
      <c r="AC97" s="2720"/>
    </row>
    <row r="98" spans="1:29" ht="15.75" thickTop="1">
      <c r="A98" s="482"/>
      <c r="B98" s="494">
        <f>B31</f>
        <v>111</v>
      </c>
      <c r="C98" s="502"/>
      <c r="D98" s="502"/>
      <c r="E98" s="502"/>
      <c r="F98" s="502"/>
      <c r="G98" s="535"/>
      <c r="H98" s="535"/>
      <c r="I98" s="535"/>
      <c r="J98" s="535"/>
      <c r="K98" s="536"/>
      <c r="L98" s="537"/>
      <c r="M98" s="538"/>
      <c r="N98" s="2748"/>
      <c r="O98" s="2748"/>
      <c r="P98" s="2739"/>
      <c r="Q98" s="2734"/>
      <c r="R98" s="2720"/>
      <c r="S98" s="2720"/>
      <c r="T98" s="2720"/>
      <c r="U98" s="2720"/>
      <c r="V98" s="2720"/>
      <c r="W98" s="2720"/>
      <c r="X98" s="2720"/>
      <c r="Y98" s="2720"/>
      <c r="Z98" s="2720"/>
      <c r="AA98" s="2720"/>
      <c r="AB98" s="2720"/>
      <c r="AC98" s="2720"/>
    </row>
    <row r="99" spans="1:29" ht="15.75" thickBot="1">
      <c r="A99" s="1923"/>
      <c r="B99" s="517"/>
      <c r="C99" s="518"/>
      <c r="D99" s="518"/>
      <c r="E99" s="518"/>
      <c r="F99" s="518"/>
      <c r="G99" s="539"/>
      <c r="H99" s="539"/>
      <c r="I99" s="539"/>
      <c r="J99" s="539"/>
      <c r="K99" s="539"/>
      <c r="L99" s="539"/>
      <c r="M99" s="540"/>
      <c r="N99" s="2749"/>
      <c r="O99" s="2749"/>
      <c r="P99" s="2739"/>
      <c r="Q99" s="2734"/>
      <c r="R99" s="2720"/>
      <c r="S99" s="2720"/>
      <c r="T99" s="2720"/>
      <c r="U99" s="2720"/>
      <c r="V99" s="2720"/>
      <c r="W99" s="2720"/>
      <c r="X99" s="2720"/>
      <c r="Y99" s="2720"/>
      <c r="Z99" s="2720"/>
      <c r="AA99" s="2720"/>
      <c r="AB99" s="2720"/>
      <c r="AC99" s="2720"/>
    </row>
    <row r="100" spans="1:29">
      <c r="A100" s="475" t="s">
        <v>1692</v>
      </c>
      <c r="B100" s="476" t="s">
        <v>1803</v>
      </c>
      <c r="C100" s="478"/>
      <c r="D100" s="478"/>
      <c r="E100" s="478"/>
      <c r="F100" s="478"/>
      <c r="G100" s="478"/>
      <c r="H100" s="478"/>
      <c r="I100" s="478"/>
      <c r="J100" s="478"/>
      <c r="K100" s="479"/>
      <c r="L100" s="480"/>
      <c r="M100" s="481"/>
      <c r="N100" s="2748"/>
      <c r="O100" s="2748"/>
      <c r="P100" s="2739"/>
      <c r="Q100" s="2734"/>
      <c r="R100" s="2720"/>
      <c r="S100" s="2720"/>
      <c r="T100" s="2720"/>
      <c r="U100" s="2720"/>
      <c r="V100" s="2720"/>
      <c r="W100" s="2720"/>
      <c r="X100" s="2720"/>
      <c r="Y100" s="2720"/>
      <c r="Z100" s="2720"/>
      <c r="AA100" s="2720"/>
      <c r="AB100" s="2720"/>
      <c r="AC100" s="2720"/>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2"/>
      <c r="B102" s="486" t="s">
        <v>1735</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1" customFormat="1">
      <c r="A103" s="541"/>
      <c r="B103" s="542"/>
      <c r="C103" s="543"/>
      <c r="D103" s="543"/>
      <c r="E103" s="543"/>
      <c r="F103" s="543"/>
      <c r="G103" s="543"/>
      <c r="H103" s="543"/>
      <c r="I103" s="543"/>
      <c r="J103" s="544"/>
      <c r="K103" s="544"/>
      <c r="L103" s="545"/>
      <c r="M103" s="546"/>
      <c r="N103" s="2750"/>
      <c r="O103" s="2750"/>
      <c r="P103" s="2740"/>
      <c r="Q103" s="2741"/>
      <c r="R103" s="2742"/>
      <c r="S103" s="2742"/>
      <c r="T103" s="2742"/>
      <c r="U103" s="2742"/>
      <c r="V103" s="2742"/>
      <c r="W103" s="2742"/>
      <c r="X103" s="2742"/>
      <c r="Y103" s="2742"/>
      <c r="Z103" s="2742"/>
      <c r="AA103" s="2742"/>
      <c r="AB103" s="2742"/>
      <c r="AC103" s="2742"/>
    </row>
    <row r="104" spans="1:29" s="421" customFormat="1" ht="15.75" thickBot="1">
      <c r="A104" s="501"/>
      <c r="B104" s="491"/>
      <c r="C104" s="508"/>
      <c r="D104" s="484"/>
      <c r="E104" s="484"/>
      <c r="F104" s="484"/>
      <c r="G104" s="484"/>
      <c r="H104" s="484"/>
      <c r="I104" s="484"/>
      <c r="J104" s="484"/>
      <c r="K104" s="484"/>
      <c r="L104" s="484"/>
      <c r="M104" s="485"/>
      <c r="N104" s="2749"/>
      <c r="O104" s="2749"/>
      <c r="P104" s="2740"/>
      <c r="Q104" s="2741"/>
      <c r="R104" s="2742"/>
      <c r="S104" s="2742"/>
      <c r="T104" s="2742"/>
      <c r="U104" s="2742"/>
      <c r="V104" s="2742"/>
      <c r="W104" s="2742"/>
      <c r="X104" s="2742"/>
      <c r="Y104" s="2742"/>
      <c r="Z104" s="2742"/>
      <c r="AA104" s="2742"/>
      <c r="AB104" s="2742"/>
      <c r="AC104" s="2742"/>
    </row>
    <row r="105" spans="1:29" ht="15" thickTop="1">
      <c r="A105" s="547"/>
      <c r="B105" s="486" t="s">
        <v>1736</v>
      </c>
      <c r="C105" s="502"/>
      <c r="D105" s="502"/>
      <c r="E105" s="531"/>
      <c r="F105" s="531"/>
      <c r="G105" s="531"/>
      <c r="H105" s="531"/>
      <c r="I105" s="531"/>
      <c r="J105" s="531"/>
      <c r="K105" s="532"/>
      <c r="L105" s="533"/>
      <c r="M105" s="534"/>
      <c r="N105" s="2748"/>
      <c r="O105" s="2748"/>
      <c r="P105" s="2739"/>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7"/>
      <c r="B107" s="486" t="s">
        <v>1738</v>
      </c>
      <c r="C107" s="502"/>
      <c r="D107" s="502"/>
      <c r="E107" s="502"/>
      <c r="F107" s="531"/>
      <c r="G107" s="531"/>
      <c r="H107" s="531"/>
      <c r="I107" s="531"/>
      <c r="J107" s="531"/>
      <c r="K107" s="532"/>
      <c r="L107" s="533"/>
      <c r="M107" s="534"/>
      <c r="N107" s="2748"/>
      <c r="O107" s="2748"/>
      <c r="P107" s="2739"/>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8"/>
      <c r="O109" s="2748"/>
      <c r="P109" s="2739"/>
      <c r="Q109" s="2734"/>
      <c r="R109" s="2720"/>
      <c r="S109" s="2720"/>
      <c r="T109" s="2720"/>
      <c r="U109" s="2720"/>
      <c r="V109" s="2720"/>
      <c r="W109" s="2720"/>
      <c r="X109" s="2720"/>
      <c r="Y109" s="2720"/>
      <c r="Z109" s="2720"/>
      <c r="AA109" s="2720"/>
      <c r="AB109" s="2720"/>
      <c r="AC109" s="2720"/>
    </row>
    <row r="110" spans="1:29">
      <c r="A110" s="547"/>
      <c r="B110" s="494"/>
      <c r="C110" s="551">
        <v>0.5</v>
      </c>
      <c r="D110" s="551">
        <v>0.6</v>
      </c>
      <c r="E110" s="551">
        <v>0.7</v>
      </c>
      <c r="F110" s="551">
        <v>0.8</v>
      </c>
      <c r="G110" s="551">
        <v>0.9</v>
      </c>
      <c r="H110" s="551">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9"/>
      <c r="O111" s="2749"/>
      <c r="P111" s="2739"/>
      <c r="Q111" s="2734"/>
      <c r="R111" s="2720"/>
      <c r="S111" s="2720"/>
      <c r="T111" s="2720"/>
      <c r="U111" s="2720"/>
      <c r="V111" s="2720"/>
      <c r="W111" s="2720"/>
      <c r="X111" s="2720"/>
      <c r="Y111" s="2720"/>
      <c r="Z111" s="2720"/>
      <c r="AA111" s="2720"/>
      <c r="AB111" s="2720"/>
      <c r="AC111" s="2720"/>
    </row>
    <row r="112" spans="1:29" s="421" customFormat="1" ht="15" thickTop="1">
      <c r="A112" s="541"/>
      <c r="B112" s="486" t="s">
        <v>1740</v>
      </c>
      <c r="C112" s="502"/>
      <c r="D112" s="502"/>
      <c r="E112" s="502"/>
      <c r="F112" s="502"/>
      <c r="G112" s="502"/>
      <c r="H112" s="531"/>
      <c r="I112" s="531"/>
      <c r="J112" s="531"/>
      <c r="K112" s="532"/>
      <c r="L112" s="533"/>
      <c r="M112" s="534"/>
      <c r="N112" s="2750"/>
      <c r="O112" s="2750"/>
      <c r="P112" s="2740"/>
      <c r="Q112" s="2741"/>
      <c r="R112" s="2742"/>
      <c r="S112" s="2742"/>
      <c r="T112" s="2742"/>
      <c r="U112" s="2742"/>
      <c r="V112" s="2742"/>
      <c r="W112" s="2742"/>
      <c r="X112" s="2742"/>
      <c r="Y112" s="2742"/>
      <c r="Z112" s="2742"/>
      <c r="AA112" s="2742"/>
      <c r="AB112" s="2742"/>
      <c r="AC112" s="2742"/>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7"/>
      <c r="B114" s="486" t="s">
        <v>1804</v>
      </c>
      <c r="C114" s="502"/>
      <c r="D114" s="502"/>
      <c r="E114" s="531"/>
      <c r="F114" s="531"/>
      <c r="G114" s="531"/>
      <c r="H114" s="531"/>
      <c r="I114" s="531"/>
      <c r="J114" s="531"/>
      <c r="K114" s="532"/>
      <c r="L114" s="533"/>
      <c r="M114" s="534"/>
      <c r="N114" s="2748"/>
      <c r="O114" s="2748"/>
      <c r="P114" s="2739"/>
      <c r="Q114" s="2734"/>
      <c r="R114" s="2720"/>
      <c r="S114" s="2720"/>
      <c r="T114" s="2720"/>
      <c r="U114" s="2720"/>
      <c r="V114" s="2720"/>
      <c r="W114" s="2720"/>
      <c r="X114" s="2720"/>
      <c r="Y114" s="2720"/>
      <c r="Z114" s="2720"/>
      <c r="AA114" s="2720"/>
      <c r="AB114" s="2720"/>
      <c r="AC114" s="2720"/>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7"/>
      <c r="B116" s="486" t="s">
        <v>1805</v>
      </c>
      <c r="C116" s="502"/>
      <c r="D116" s="502"/>
      <c r="E116" s="502"/>
      <c r="F116" s="502"/>
      <c r="G116" s="502"/>
      <c r="H116" s="531"/>
      <c r="I116" s="531"/>
      <c r="J116" s="531"/>
      <c r="K116" s="532"/>
      <c r="L116" s="533"/>
      <c r="M116" s="534"/>
      <c r="N116" s="2748"/>
      <c r="O116" s="2748"/>
      <c r="P116" s="2739"/>
      <c r="Q116" s="2734"/>
      <c r="R116" s="2720"/>
      <c r="S116" s="2720"/>
      <c r="T116" s="2720"/>
      <c r="U116" s="2720"/>
      <c r="V116" s="2720"/>
      <c r="W116" s="2720"/>
      <c r="X116" s="2720"/>
      <c r="Y116" s="2720"/>
      <c r="Z116" s="2720"/>
      <c r="AA116" s="2720"/>
      <c r="AB116" s="2720"/>
      <c r="AC116" s="2720"/>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9"/>
      <c r="O117" s="2749"/>
      <c r="P117" s="2739"/>
      <c r="Q117" s="2734"/>
      <c r="R117" s="2720"/>
      <c r="S117" s="2720"/>
      <c r="T117" s="2720"/>
      <c r="U117" s="2720"/>
      <c r="V117" s="2720"/>
      <c r="W117" s="2720"/>
      <c r="X117" s="2720"/>
      <c r="Y117" s="2720"/>
      <c r="Z117" s="2720"/>
      <c r="AA117" s="2720"/>
      <c r="AB117" s="2720"/>
      <c r="AC117" s="2720"/>
    </row>
    <row r="118" spans="1:29" ht="15" thickTop="1">
      <c r="A118" s="547"/>
      <c r="B118" s="486" t="s">
        <v>1806</v>
      </c>
      <c r="C118" s="574"/>
      <c r="D118" s="574"/>
      <c r="E118" s="574"/>
      <c r="F118" s="574"/>
      <c r="G118" s="574"/>
      <c r="H118" s="503"/>
      <c r="I118" s="503"/>
      <c r="J118" s="503"/>
      <c r="K118" s="503"/>
      <c r="L118" s="504"/>
      <c r="M118" s="505"/>
      <c r="N118" s="2748"/>
      <c r="O118" s="2748"/>
      <c r="P118" s="2739"/>
      <c r="Q118" s="2734"/>
      <c r="R118" s="2720"/>
      <c r="S118" s="2720"/>
      <c r="T118" s="2720"/>
      <c r="U118" s="2720"/>
      <c r="V118" s="2720"/>
      <c r="W118" s="2720"/>
      <c r="X118" s="2720"/>
      <c r="Y118" s="2720"/>
      <c r="Z118" s="2720"/>
      <c r="AA118" s="2720"/>
      <c r="AB118" s="2720"/>
      <c r="AC118" s="2720"/>
    </row>
    <row r="119" spans="1:29" ht="15.75" thickBot="1">
      <c r="A119" s="482"/>
      <c r="B119" s="491"/>
      <c r="C119" s="508"/>
      <c r="D119" s="484"/>
      <c r="E119" s="484"/>
      <c r="F119" s="484"/>
      <c r="G119" s="484"/>
      <c r="H119" s="484"/>
      <c r="I119" s="484"/>
      <c r="J119" s="484"/>
      <c r="K119" s="484"/>
      <c r="L119" s="484"/>
      <c r="M119" s="485"/>
      <c r="N119" s="2749"/>
      <c r="O119" s="2749"/>
      <c r="P119" s="2739"/>
      <c r="Q119" s="2734"/>
      <c r="R119" s="2720"/>
      <c r="S119" s="2720"/>
      <c r="T119" s="2720"/>
      <c r="U119" s="2720"/>
      <c r="V119" s="2720"/>
      <c r="W119" s="2720"/>
      <c r="X119" s="2720"/>
      <c r="Y119" s="2720"/>
      <c r="Z119" s="2720"/>
      <c r="AA119" s="2720"/>
      <c r="AB119" s="2720"/>
      <c r="AC119" s="2720"/>
    </row>
    <row r="120" spans="1:29" s="421" customFormat="1" ht="15" thickTop="1">
      <c r="A120" s="541"/>
      <c r="B120" s="486" t="s">
        <v>1807</v>
      </c>
      <c r="C120" s="531"/>
      <c r="D120" s="531"/>
      <c r="E120" s="531"/>
      <c r="F120" s="531"/>
      <c r="G120" s="503"/>
      <c r="H120" s="503"/>
      <c r="I120" s="503"/>
      <c r="J120" s="503"/>
      <c r="K120" s="503"/>
      <c r="L120" s="504"/>
      <c r="M120" s="505"/>
      <c r="N120" s="2750"/>
      <c r="O120" s="2750"/>
      <c r="P120" s="2740"/>
      <c r="Q120" s="2741"/>
      <c r="R120" s="2742"/>
      <c r="S120" s="2742"/>
      <c r="T120" s="2742"/>
      <c r="U120" s="2742"/>
      <c r="V120" s="2742"/>
      <c r="W120" s="2742"/>
      <c r="X120" s="2742"/>
      <c r="Y120" s="2742"/>
      <c r="Z120" s="2742"/>
      <c r="AA120" s="2742"/>
      <c r="AB120" s="2742"/>
      <c r="AC120" s="2742"/>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7"/>
      <c r="B122" s="486" t="s">
        <v>1742</v>
      </c>
      <c r="C122" s="502"/>
      <c r="D122" s="502"/>
      <c r="E122" s="502"/>
      <c r="F122" s="531"/>
      <c r="G122" s="531"/>
      <c r="H122" s="531"/>
      <c r="I122" s="531"/>
      <c r="J122" s="531"/>
      <c r="K122" s="532"/>
      <c r="L122" s="533"/>
      <c r="M122" s="534"/>
      <c r="N122" s="2748"/>
      <c r="O122" s="2748"/>
      <c r="P122" s="2739"/>
      <c r="Q122" s="2734"/>
      <c r="R122" s="2720"/>
      <c r="S122" s="2720"/>
      <c r="T122" s="2720"/>
      <c r="U122" s="2720"/>
      <c r="V122" s="2720"/>
      <c r="W122" s="2720"/>
      <c r="X122" s="2720"/>
      <c r="Y122" s="2720"/>
      <c r="Z122" s="2720"/>
      <c r="AA122" s="2720"/>
      <c r="AB122" s="2720"/>
      <c r="AC122" s="2720"/>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7"/>
      <c r="B124" s="486" t="s">
        <v>1743</v>
      </c>
      <c r="C124" s="526" t="s">
        <v>1719</v>
      </c>
      <c r="D124" s="526" t="s">
        <v>1720</v>
      </c>
      <c r="E124" s="526" t="s">
        <v>1721</v>
      </c>
      <c r="F124" s="526" t="s">
        <v>1722</v>
      </c>
      <c r="G124" s="526" t="s">
        <v>1723</v>
      </c>
      <c r="H124" s="487"/>
      <c r="I124" s="487"/>
      <c r="J124" s="487"/>
      <c r="K124" s="488"/>
      <c r="L124" s="489"/>
      <c r="M124" s="490"/>
      <c r="N124" s="2748"/>
      <c r="O124" s="2748"/>
      <c r="P124" s="2740"/>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9"/>
      <c r="O125" s="2749"/>
      <c r="P125" s="2739"/>
      <c r="Q125" s="2734"/>
      <c r="R125" s="2720"/>
      <c r="S125" s="2720"/>
      <c r="T125" s="2720"/>
      <c r="U125" s="2720"/>
      <c r="V125" s="2720"/>
      <c r="W125" s="2720"/>
      <c r="X125" s="2720"/>
      <c r="Y125" s="2720"/>
      <c r="Z125" s="2720"/>
      <c r="AA125" s="2720"/>
      <c r="AB125" s="2720"/>
      <c r="AC125" s="2720"/>
    </row>
    <row r="126" spans="1:29" s="421" customFormat="1" ht="15" thickTop="1">
      <c r="A126" s="541"/>
      <c r="B126" s="486">
        <f>B44</f>
        <v>111</v>
      </c>
      <c r="C126" s="502"/>
      <c r="D126" s="502"/>
      <c r="E126" s="502"/>
      <c r="F126" s="502"/>
      <c r="G126" s="502"/>
      <c r="H126" s="503"/>
      <c r="I126" s="503"/>
      <c r="J126" s="503"/>
      <c r="K126" s="503"/>
      <c r="L126" s="504"/>
      <c r="M126" s="505"/>
      <c r="N126" s="2750"/>
      <c r="O126" s="2750"/>
      <c r="P126" s="2740"/>
      <c r="Q126" s="2741"/>
      <c r="R126" s="2742"/>
      <c r="S126" s="2742"/>
      <c r="T126" s="2742"/>
      <c r="U126" s="2742"/>
      <c r="V126" s="2742"/>
      <c r="W126" s="2742"/>
      <c r="X126" s="2742"/>
      <c r="Y126" s="2742"/>
      <c r="Z126" s="2742"/>
      <c r="AA126" s="2742"/>
      <c r="AB126" s="2742"/>
      <c r="AC126" s="2742"/>
    </row>
    <row r="127" spans="1:29" s="421" customFormat="1" ht="15.75" thickBot="1">
      <c r="A127" s="501"/>
      <c r="B127" s="491"/>
      <c r="C127" s="508"/>
      <c r="D127" s="484"/>
      <c r="E127" s="484"/>
      <c r="F127" s="484"/>
      <c r="G127" s="508"/>
      <c r="H127" s="510"/>
      <c r="I127" s="510"/>
      <c r="J127" s="510"/>
      <c r="K127" s="510"/>
      <c r="L127" s="510"/>
      <c r="M127" s="511"/>
      <c r="N127" s="2750"/>
      <c r="O127" s="2750"/>
      <c r="P127" s="2740"/>
      <c r="Q127" s="2741"/>
      <c r="R127" s="2742"/>
      <c r="S127" s="2742"/>
      <c r="T127" s="2742"/>
      <c r="U127" s="2742"/>
      <c r="V127" s="2742"/>
      <c r="W127" s="2742"/>
      <c r="X127" s="2742"/>
      <c r="Y127" s="2742"/>
      <c r="Z127" s="2742"/>
      <c r="AA127" s="2742"/>
      <c r="AB127" s="2742"/>
      <c r="AC127" s="2742"/>
    </row>
    <row r="128" spans="1:29" ht="15" thickTop="1">
      <c r="A128" s="547"/>
      <c r="B128" s="486">
        <f>B45</f>
        <v>111</v>
      </c>
      <c r="C128" s="502"/>
      <c r="D128" s="502"/>
      <c r="E128" s="502"/>
      <c r="F128" s="502"/>
      <c r="G128" s="531"/>
      <c r="H128" s="531"/>
      <c r="I128" s="531"/>
      <c r="J128" s="531"/>
      <c r="K128" s="532"/>
      <c r="L128" s="533"/>
      <c r="M128" s="534"/>
      <c r="N128" s="2748"/>
      <c r="O128" s="2748"/>
      <c r="P128" s="2739"/>
      <c r="Q128" s="2734"/>
      <c r="R128" s="2720"/>
      <c r="S128" s="2720"/>
      <c r="T128" s="2720"/>
      <c r="U128" s="2720"/>
      <c r="V128" s="2720"/>
      <c r="W128" s="2720"/>
      <c r="X128" s="2720"/>
      <c r="Y128" s="2720"/>
      <c r="Z128" s="2720"/>
      <c r="AA128" s="2720"/>
      <c r="AB128" s="2720"/>
      <c r="AC128" s="2720"/>
    </row>
    <row r="129" spans="1:29" ht="15.75" thickBot="1">
      <c r="A129" s="482"/>
      <c r="B129" s="491"/>
      <c r="C129" s="508"/>
      <c r="D129" s="484"/>
      <c r="E129" s="484"/>
      <c r="F129" s="484"/>
      <c r="G129" s="484"/>
      <c r="H129" s="484"/>
      <c r="I129" s="484"/>
      <c r="J129" s="484"/>
      <c r="K129" s="484"/>
      <c r="L129" s="484"/>
      <c r="M129" s="485"/>
      <c r="N129" s="2749"/>
      <c r="O129" s="2749"/>
      <c r="P129" s="2739"/>
      <c r="Q129" s="2734"/>
      <c r="R129" s="2720"/>
      <c r="S129" s="2720"/>
      <c r="T129" s="2720"/>
      <c r="U129" s="2720"/>
      <c r="V129" s="2720"/>
      <c r="W129" s="2720"/>
      <c r="X129" s="2720"/>
      <c r="Y129" s="2720"/>
      <c r="Z129" s="2720"/>
      <c r="AA129" s="2720"/>
      <c r="AB129" s="2720"/>
      <c r="AC129" s="2720"/>
    </row>
    <row r="130" spans="1:29" ht="15" thickTop="1">
      <c r="A130" s="547"/>
      <c r="B130" s="494">
        <f>B46</f>
        <v>111</v>
      </c>
      <c r="C130" s="502"/>
      <c r="D130" s="502"/>
      <c r="E130" s="502"/>
      <c r="F130" s="502"/>
      <c r="G130" s="535"/>
      <c r="H130" s="535"/>
      <c r="I130" s="535"/>
      <c r="J130" s="535"/>
      <c r="K130" s="471"/>
      <c r="L130" s="472"/>
      <c r="M130" s="538"/>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7"/>
      <c r="C131" s="518"/>
      <c r="D131" s="518"/>
      <c r="E131" s="518"/>
      <c r="F131" s="518"/>
      <c r="G131" s="539"/>
      <c r="H131" s="539"/>
      <c r="I131" s="539"/>
      <c r="J131" s="539"/>
      <c r="K131" s="539"/>
      <c r="L131" s="539"/>
      <c r="M131" s="540"/>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估价对象为北京市房地产,属开发建设的工业项目，该项目尚在开发建设中。根据《国有土地使用证》[]，估价对象（分摊）出让国有建设用地使用权面积为6294.36平方米，规划建筑面积为39707.96平方米。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2024年1月31日（评估专业人员实地查勘之日）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1658</v>
      </c>
      <c r="B1" s="1952" t="s">
        <v>1808</v>
      </c>
      <c r="C1" s="1219" t="s">
        <v>1660</v>
      </c>
      <c r="D1" s="1220"/>
      <c r="E1" s="3428"/>
      <c r="F1" s="1874"/>
      <c r="G1" s="1230" t="s">
        <v>1765</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1460</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1461</v>
      </c>
      <c r="F2" s="1878"/>
      <c r="G2" s="904"/>
      <c r="H2" s="904"/>
      <c r="I2" s="904"/>
      <c r="J2" s="904"/>
      <c r="K2" s="904"/>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1462</v>
      </c>
      <c r="B3" s="557">
        <f>IF(C2="——",C50,ROUND(B2*10000/D3,0))</f>
        <v>0</v>
      </c>
      <c r="C3" s="353" t="s">
        <v>1766</v>
      </c>
      <c r="D3" s="352">
        <f>IF(D1="",'数据-汇总表'!E3,SUMIF('数据-汇总表'!$C19:$C33,D1,'数据-汇总表'!$E19:$E33))</f>
        <v>39707.960000000006</v>
      </c>
      <c r="E3" s="1949"/>
      <c r="F3" s="905"/>
      <c r="G3" s="904"/>
      <c r="H3" s="904"/>
      <c r="I3" s="904"/>
      <c r="J3" s="904"/>
      <c r="K3" s="906"/>
      <c r="L3" s="2729"/>
      <c r="M3" s="2730"/>
      <c r="N3" s="2730"/>
      <c r="O3" s="2730"/>
      <c r="P3" s="697"/>
      <c r="Q3" s="697"/>
      <c r="R3" s="697"/>
      <c r="S3" s="697"/>
      <c r="T3" s="697"/>
      <c r="U3" s="697"/>
      <c r="V3" s="697"/>
      <c r="W3" s="697"/>
      <c r="X3" s="697"/>
      <c r="Y3" s="697"/>
      <c r="Z3" s="697"/>
      <c r="AA3" s="697"/>
      <c r="AB3" s="697"/>
      <c r="AC3" s="698"/>
    </row>
    <row r="4" spans="1:29" ht="15">
      <c r="A4" s="354" t="s">
        <v>1767</v>
      </c>
      <c r="B4" s="355"/>
      <c r="C4" s="3720" t="s">
        <v>1768</v>
      </c>
      <c r="D4" s="3721"/>
      <c r="E4" s="3722" t="s">
        <v>1769</v>
      </c>
      <c r="F4" s="3723"/>
      <c r="G4" s="3720" t="s">
        <v>1770</v>
      </c>
      <c r="H4" s="3721"/>
      <c r="I4" s="3720" t="s">
        <v>1771</v>
      </c>
      <c r="J4" s="3721"/>
      <c r="K4" s="558" t="s">
        <v>1772</v>
      </c>
      <c r="L4" s="2710"/>
      <c r="M4" s="2711"/>
      <c r="N4" s="2711"/>
      <c r="O4" s="2711"/>
      <c r="P4" s="3754" t="s">
        <v>1773</v>
      </c>
      <c r="Q4" s="3755"/>
      <c r="R4" s="3758" t="s">
        <v>1769</v>
      </c>
      <c r="S4" s="3759"/>
      <c r="T4" s="3758" t="s">
        <v>1770</v>
      </c>
      <c r="U4" s="3759"/>
      <c r="V4" s="3760" t="s">
        <v>1771</v>
      </c>
      <c r="W4" s="3760"/>
      <c r="X4" s="1953"/>
      <c r="Y4" s="3758" t="s">
        <v>1773</v>
      </c>
      <c r="Z4" s="3759"/>
      <c r="AA4" s="3762" t="s">
        <v>1769</v>
      </c>
      <c r="AB4" s="3762" t="s">
        <v>1770</v>
      </c>
      <c r="AC4" s="3751" t="s">
        <v>1771</v>
      </c>
    </row>
    <row r="5" spans="1:29" ht="15">
      <c r="A5" s="357"/>
      <c r="B5" s="358"/>
      <c r="C5" s="3739" t="s">
        <v>1671</v>
      </c>
      <c r="D5" s="3740"/>
      <c r="E5" s="3746" t="s">
        <v>1672</v>
      </c>
      <c r="F5" s="3747"/>
      <c r="G5" s="3739" t="s">
        <v>1673</v>
      </c>
      <c r="H5" s="3740"/>
      <c r="I5" s="3739" t="s">
        <v>1674</v>
      </c>
      <c r="J5" s="3740"/>
      <c r="K5" s="558"/>
      <c r="L5" s="2710"/>
      <c r="M5" s="2711"/>
      <c r="N5" s="2711"/>
      <c r="O5" s="2711"/>
      <c r="P5" s="3756"/>
      <c r="Q5" s="3727"/>
      <c r="R5" s="3732"/>
      <c r="S5" s="3733"/>
      <c r="T5" s="3732"/>
      <c r="U5" s="3733"/>
      <c r="V5" s="3736"/>
      <c r="W5" s="3736"/>
      <c r="X5" s="1350"/>
      <c r="Y5" s="3732"/>
      <c r="Z5" s="3733"/>
      <c r="AA5" s="3718"/>
      <c r="AB5" s="3718"/>
      <c r="AC5" s="3752"/>
    </row>
    <row r="6" spans="1:29" ht="15.75" thickBot="1">
      <c r="A6" s="359"/>
      <c r="B6" s="360"/>
      <c r="C6" s="3737" t="s">
        <v>1675</v>
      </c>
      <c r="D6" s="3738"/>
      <c r="E6" s="3744" t="s">
        <v>1675</v>
      </c>
      <c r="F6" s="3745"/>
      <c r="G6" s="3737" t="s">
        <v>1675</v>
      </c>
      <c r="H6" s="3738"/>
      <c r="I6" s="3737" t="s">
        <v>1675</v>
      </c>
      <c r="J6" s="3738"/>
      <c r="K6" s="558" t="s">
        <v>1676</v>
      </c>
      <c r="L6" s="2710"/>
      <c r="M6" s="2711"/>
      <c r="N6" s="2711"/>
      <c r="O6" s="2711"/>
      <c r="P6" s="3757"/>
      <c r="Q6" s="3729"/>
      <c r="R6" s="3732"/>
      <c r="S6" s="3733"/>
      <c r="T6" s="3734"/>
      <c r="U6" s="3735"/>
      <c r="V6" s="3736"/>
      <c r="W6" s="3736"/>
      <c r="X6" s="1350"/>
      <c r="Y6" s="3734"/>
      <c r="Z6" s="3735"/>
      <c r="AA6" s="3719"/>
      <c r="AB6" s="3719"/>
      <c r="AC6" s="3753"/>
    </row>
    <row r="7" spans="1:29" s="108" customFormat="1" ht="15.75" thickBot="1">
      <c r="A7" s="361" t="s">
        <v>1677</v>
      </c>
      <c r="B7" s="362"/>
      <c r="C7" s="363">
        <f>'数据-取费表'!B2</f>
        <v>45322</v>
      </c>
      <c r="D7" s="364">
        <v>100</v>
      </c>
      <c r="E7" s="365"/>
      <c r="F7" s="366">
        <f>SUMIF(59:59,YEAR(E7)&amp;"-"&amp;MONTH(E7),60:60)</f>
        <v>0</v>
      </c>
      <c r="G7" s="365"/>
      <c r="H7" s="364">
        <f>SUMIF(59:59,YEAR(G7)&amp;"-"&amp;MONTH(G7),60:60)</f>
        <v>0</v>
      </c>
      <c r="I7" s="365"/>
      <c r="J7" s="364">
        <f>SUMIF(59:59,YEAR(I7)&amp;"-"&amp;MONTH(I7),60:60)</f>
        <v>0</v>
      </c>
      <c r="K7" s="559"/>
      <c r="L7" s="2712"/>
      <c r="M7" s="2713"/>
      <c r="N7" s="2713"/>
      <c r="O7" s="2713"/>
      <c r="P7" s="3761" t="s">
        <v>1678</v>
      </c>
      <c r="Q7" s="3743"/>
      <c r="R7" s="699" t="s">
        <v>14</v>
      </c>
      <c r="S7" s="700">
        <f t="shared" ref="S7:S15" si="0">F7</f>
        <v>0</v>
      </c>
      <c r="T7" s="699" t="s">
        <v>14</v>
      </c>
      <c r="U7" s="700">
        <f t="shared" ref="U7:U15" si="1">H7</f>
        <v>0</v>
      </c>
      <c r="V7" s="699" t="s">
        <v>14</v>
      </c>
      <c r="W7" s="700">
        <f t="shared" ref="W7:W15" si="2">J7</f>
        <v>0</v>
      </c>
      <c r="X7" s="701"/>
      <c r="Y7" s="3741" t="s">
        <v>1678</v>
      </c>
      <c r="Z7" s="3742"/>
      <c r="AA7" s="702" t="e">
        <f>D7/F7</f>
        <v>#DIV/0!</v>
      </c>
      <c r="AB7" s="702" t="e">
        <f>D7/H7</f>
        <v>#DIV/0!</v>
      </c>
      <c r="AC7" s="1954" t="e">
        <f>D7/J7</f>
        <v>#DIV/0!</v>
      </c>
    </row>
    <row r="8" spans="1:29" s="108" customFormat="1" ht="15.75" thickBot="1">
      <c r="A8" s="361" t="s">
        <v>1679</v>
      </c>
      <c r="B8" s="362"/>
      <c r="C8" s="367"/>
      <c r="D8" s="364">
        <v>100</v>
      </c>
      <c r="E8" s="367"/>
      <c r="F8" s="366">
        <f>SUMIF(62:62,E8,63:63)-SUMIF(62:62,C8,63:63)+100</f>
        <v>100</v>
      </c>
      <c r="G8" s="367"/>
      <c r="H8" s="364">
        <f>SUMIF(62:62,G8,63:63)-SUMIF(62:62,C8,63:63)+100</f>
        <v>100</v>
      </c>
      <c r="I8" s="367"/>
      <c r="J8" s="364">
        <f>SUMIF(62:62,I8,63:63)-SUMIF(62:62,C8,63:63)+100</f>
        <v>100</v>
      </c>
      <c r="K8" s="559"/>
      <c r="L8" s="2712"/>
      <c r="M8" s="2713"/>
      <c r="N8" s="2713"/>
      <c r="O8" s="2713"/>
      <c r="P8" s="3761" t="s">
        <v>1681</v>
      </c>
      <c r="Q8" s="3742"/>
      <c r="R8" s="699" t="s">
        <v>14</v>
      </c>
      <c r="S8" s="700">
        <f t="shared" si="0"/>
        <v>100</v>
      </c>
      <c r="T8" s="699" t="s">
        <v>14</v>
      </c>
      <c r="U8" s="700">
        <f t="shared" si="1"/>
        <v>100</v>
      </c>
      <c r="V8" s="699" t="s">
        <v>14</v>
      </c>
      <c r="W8" s="700">
        <f t="shared" si="2"/>
        <v>100</v>
      </c>
      <c r="X8" s="701"/>
      <c r="Y8" s="3741" t="s">
        <v>1681</v>
      </c>
      <c r="Z8" s="3742"/>
      <c r="AA8" s="702">
        <f t="shared" ref="AA8:AA47" si="3">D8/F8</f>
        <v>1</v>
      </c>
      <c r="AB8" s="702">
        <f t="shared" ref="AB8:AB47" si="4">D8/H8</f>
        <v>1</v>
      </c>
      <c r="AC8" s="1954">
        <f t="shared" ref="AC8:AC47" si="5">D8/J8</f>
        <v>1</v>
      </c>
    </row>
    <row r="9" spans="1:29" s="108" customFormat="1">
      <c r="A9" s="368" t="s">
        <v>1682</v>
      </c>
      <c r="B9" s="63" t="s">
        <v>1683</v>
      </c>
      <c r="C9" s="369"/>
      <c r="D9" s="125">
        <v>100</v>
      </c>
      <c r="E9" s="372"/>
      <c r="F9" s="125">
        <f>SUMIF(64:64,E9,65:65)-SUMIF(64:64,C9,65:65)+100</f>
        <v>100</v>
      </c>
      <c r="G9" s="370"/>
      <c r="H9" s="125">
        <f>SUMIF(64:64,G9,65:65)-SUMIF(64:64,C9,65:65)+100</f>
        <v>100</v>
      </c>
      <c r="I9" s="370"/>
      <c r="J9" s="125">
        <f>SUMIF(64:64,I9,65:65)-SUMIF(64:64,C9,65:65)+100</f>
        <v>100</v>
      </c>
      <c r="K9" s="559"/>
      <c r="L9" s="2712"/>
      <c r="M9" s="2713"/>
      <c r="N9" s="2713"/>
      <c r="O9" s="2713"/>
      <c r="P9" s="3716" t="s">
        <v>1684</v>
      </c>
      <c r="Q9" s="1338" t="str">
        <f t="shared" ref="Q9:Q15" si="6">B9</f>
        <v>用途</v>
      </c>
      <c r="R9" s="699" t="s">
        <v>14</v>
      </c>
      <c r="S9" s="700">
        <f t="shared" si="0"/>
        <v>100</v>
      </c>
      <c r="T9" s="699" t="s">
        <v>14</v>
      </c>
      <c r="U9" s="700">
        <f t="shared" si="1"/>
        <v>100</v>
      </c>
      <c r="V9" s="699" t="s">
        <v>14</v>
      </c>
      <c r="W9" s="700">
        <f t="shared" si="2"/>
        <v>100</v>
      </c>
      <c r="X9" s="701"/>
      <c r="Y9" s="3579" t="s">
        <v>1685</v>
      </c>
      <c r="Z9" s="52" t="str">
        <f t="shared" ref="Z9:Z15" si="7">Q9</f>
        <v>用途</v>
      </c>
      <c r="AA9" s="702">
        <f t="shared" si="3"/>
        <v>1</v>
      </c>
      <c r="AB9" s="702">
        <f t="shared" si="4"/>
        <v>1</v>
      </c>
      <c r="AC9" s="1954">
        <f t="shared" si="5"/>
        <v>1</v>
      </c>
    </row>
    <row r="10" spans="1:29" s="377" customFormat="1" ht="27">
      <c r="A10" s="373"/>
      <c r="B10" s="374" t="s">
        <v>1686</v>
      </c>
      <c r="C10" s="3429"/>
      <c r="D10" s="126">
        <v>100</v>
      </c>
      <c r="E10" s="3429"/>
      <c r="F10" s="126">
        <f>SUMIF(66:66,E10,67:67)-SUMIF(66:66,C10,67:67)+100</f>
        <v>100</v>
      </c>
      <c r="G10" s="3430"/>
      <c r="H10" s="126">
        <f>SUMIF(66:66,G10,67:67)-SUMIF(66:66,C10,67:67)+100</f>
        <v>100</v>
      </c>
      <c r="I10" s="3429"/>
      <c r="J10" s="126">
        <f>SUMIF(66:66,I10,67:67)-SUMIF(66:66,C10,67:67)+100</f>
        <v>100</v>
      </c>
      <c r="K10" s="559"/>
      <c r="L10" s="2714"/>
      <c r="M10" s="2715"/>
      <c r="N10" s="2715"/>
      <c r="O10" s="2715"/>
      <c r="P10" s="3716"/>
      <c r="Q10" s="1338" t="str">
        <f t="shared" si="6"/>
        <v>土地使用年限（年）</v>
      </c>
      <c r="R10" s="699" t="s">
        <v>14</v>
      </c>
      <c r="S10" s="700">
        <f t="shared" si="0"/>
        <v>100</v>
      </c>
      <c r="T10" s="699" t="s">
        <v>14</v>
      </c>
      <c r="U10" s="700">
        <f t="shared" si="1"/>
        <v>100</v>
      </c>
      <c r="V10" s="699" t="s">
        <v>14</v>
      </c>
      <c r="W10" s="700">
        <f t="shared" si="2"/>
        <v>100</v>
      </c>
      <c r="X10" s="701"/>
      <c r="Y10" s="3579"/>
      <c r="Z10" s="52" t="str">
        <f t="shared" si="7"/>
        <v>土地使用年限（年）</v>
      </c>
      <c r="AA10" s="702">
        <f t="shared" si="3"/>
        <v>1</v>
      </c>
      <c r="AB10" s="702">
        <f t="shared" si="4"/>
        <v>1</v>
      </c>
      <c r="AC10" s="1954">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16"/>
      <c r="M11" s="2711"/>
      <c r="N11" s="2711"/>
      <c r="O11" s="2711"/>
      <c r="P11" s="3716"/>
      <c r="Q11" s="1338" t="str">
        <f t="shared" si="6"/>
        <v>容积率</v>
      </c>
      <c r="R11" s="699" t="s">
        <v>14</v>
      </c>
      <c r="S11" s="700">
        <f t="shared" si="0"/>
        <v>100</v>
      </c>
      <c r="T11" s="699" t="s">
        <v>14</v>
      </c>
      <c r="U11" s="700">
        <f t="shared" si="1"/>
        <v>100</v>
      </c>
      <c r="V11" s="699" t="s">
        <v>14</v>
      </c>
      <c r="W11" s="700">
        <f t="shared" si="2"/>
        <v>100</v>
      </c>
      <c r="X11" s="701"/>
      <c r="Y11" s="3579"/>
      <c r="Z11" s="52" t="str">
        <f t="shared" si="7"/>
        <v>容积率</v>
      </c>
      <c r="AA11" s="702">
        <f t="shared" si="3"/>
        <v>1</v>
      </c>
      <c r="AB11" s="702">
        <f t="shared" si="4"/>
        <v>1</v>
      </c>
      <c r="AC11" s="1954">
        <f t="shared" si="5"/>
        <v>1</v>
      </c>
    </row>
    <row r="12" spans="1:29" s="108" customFormat="1" ht="15">
      <c r="A12" s="381"/>
      <c r="B12" s="1888">
        <v>111</v>
      </c>
      <c r="C12" s="382"/>
      <c r="D12" s="383">
        <v>100</v>
      </c>
      <c r="E12" s="382"/>
      <c r="F12" s="126">
        <f>SUMIF(71:71,E12,72:72)-SUMIF(71:71,C12,72:72)+100</f>
        <v>100</v>
      </c>
      <c r="G12" s="1955"/>
      <c r="H12" s="126">
        <f>SUMIF(71:71,G12,72:72)-SUMIF(71:71,C12,72:72)+100</f>
        <v>100</v>
      </c>
      <c r="I12" s="382"/>
      <c r="J12" s="126">
        <f>SUMIF(71:71,I12,72:72)-SUMIF(71:71,C12,72:72)+100</f>
        <v>100</v>
      </c>
      <c r="K12" s="561"/>
      <c r="L12" s="2712"/>
      <c r="M12" s="2713"/>
      <c r="N12" s="2713"/>
      <c r="O12" s="2713"/>
      <c r="P12" s="3716"/>
      <c r="Q12" s="1338">
        <f t="shared" si="6"/>
        <v>111</v>
      </c>
      <c r="R12" s="699" t="s">
        <v>14</v>
      </c>
      <c r="S12" s="700">
        <f t="shared" si="0"/>
        <v>100</v>
      </c>
      <c r="T12" s="699" t="s">
        <v>14</v>
      </c>
      <c r="U12" s="700">
        <f t="shared" si="1"/>
        <v>100</v>
      </c>
      <c r="V12" s="699" t="s">
        <v>14</v>
      </c>
      <c r="W12" s="700">
        <f t="shared" si="2"/>
        <v>100</v>
      </c>
      <c r="X12" s="701"/>
      <c r="Y12" s="3579"/>
      <c r="Z12" s="52">
        <f t="shared" si="7"/>
        <v>111</v>
      </c>
      <c r="AA12" s="702">
        <f>D12/F12</f>
        <v>1</v>
      </c>
      <c r="AB12" s="702">
        <f>D12/H12</f>
        <v>1</v>
      </c>
      <c r="AC12" s="1954">
        <f>D12/J12</f>
        <v>1</v>
      </c>
    </row>
    <row r="13" spans="1:29" ht="15">
      <c r="A13" s="378"/>
      <c r="B13" s="1888">
        <v>111</v>
      </c>
      <c r="C13" s="384"/>
      <c r="D13" s="385">
        <v>100</v>
      </c>
      <c r="E13" s="382"/>
      <c r="F13" s="126">
        <f>SUMIF(73:73,E13,74:74)-SUMIF(73:73,C13,74:74)+100</f>
        <v>100</v>
      </c>
      <c r="G13" s="1955"/>
      <c r="H13" s="385">
        <f>SUMIF(73:73,G13,74:74)-SUMIF(73:73,C13,74:74)+100</f>
        <v>100</v>
      </c>
      <c r="I13" s="382"/>
      <c r="J13" s="385">
        <f>SUMIF(73:73,I13,74:74)-SUMIF(73:73,C13,74:74)+100</f>
        <v>100</v>
      </c>
      <c r="K13" s="561"/>
      <c r="L13" s="2717"/>
      <c r="M13" s="2711"/>
      <c r="N13" s="2711"/>
      <c r="O13" s="2711"/>
      <c r="P13" s="3716"/>
      <c r="Q13" s="1338">
        <f t="shared" si="6"/>
        <v>111</v>
      </c>
      <c r="R13" s="699" t="s">
        <v>14</v>
      </c>
      <c r="S13" s="700">
        <f t="shared" si="0"/>
        <v>100</v>
      </c>
      <c r="T13" s="699" t="s">
        <v>14</v>
      </c>
      <c r="U13" s="700">
        <f t="shared" si="1"/>
        <v>100</v>
      </c>
      <c r="V13" s="699" t="s">
        <v>14</v>
      </c>
      <c r="W13" s="700">
        <f t="shared" si="2"/>
        <v>100</v>
      </c>
      <c r="X13" s="701"/>
      <c r="Y13" s="3579"/>
      <c r="Z13" s="52">
        <f t="shared" si="7"/>
        <v>111</v>
      </c>
      <c r="AA13" s="702">
        <f t="shared" si="3"/>
        <v>1</v>
      </c>
      <c r="AB13" s="702">
        <f t="shared" si="4"/>
        <v>1</v>
      </c>
      <c r="AC13" s="1954">
        <f t="shared" si="5"/>
        <v>1</v>
      </c>
    </row>
    <row r="14" spans="1:29" ht="15.75" thickBot="1">
      <c r="A14" s="386"/>
      <c r="B14" s="1890">
        <v>111</v>
      </c>
      <c r="C14" s="387"/>
      <c r="D14" s="388">
        <v>100</v>
      </c>
      <c r="E14" s="575"/>
      <c r="F14" s="388">
        <f>SUMIF(75:75,E14,76:76)-SUMIF(75:75,C14,76:76)+100</f>
        <v>100</v>
      </c>
      <c r="G14" s="1955"/>
      <c r="H14" s="388">
        <f>SUMIF(75:75,G14,76:76)-SUMIF(75:75,C14,76:76)+100</f>
        <v>100</v>
      </c>
      <c r="I14" s="382"/>
      <c r="J14" s="388">
        <f>SUMIF(75:75,I14,76:76)-SUMIF(75:75,C14,76:76)+100</f>
        <v>100</v>
      </c>
      <c r="K14" s="561"/>
      <c r="L14" s="2717"/>
      <c r="M14" s="2711"/>
      <c r="N14" s="2711"/>
      <c r="O14" s="2711"/>
      <c r="P14" s="3716"/>
      <c r="Q14" s="1338">
        <f t="shared" si="6"/>
        <v>111</v>
      </c>
      <c r="R14" s="699" t="s">
        <v>14</v>
      </c>
      <c r="S14" s="700">
        <f t="shared" si="0"/>
        <v>100</v>
      </c>
      <c r="T14" s="699" t="s">
        <v>14</v>
      </c>
      <c r="U14" s="700">
        <f t="shared" si="1"/>
        <v>100</v>
      </c>
      <c r="V14" s="699" t="s">
        <v>14</v>
      </c>
      <c r="W14" s="700">
        <f t="shared" si="2"/>
        <v>100</v>
      </c>
      <c r="X14" s="701"/>
      <c r="Y14" s="3579"/>
      <c r="Z14" s="52">
        <f t="shared" si="7"/>
        <v>111</v>
      </c>
      <c r="AA14" s="702">
        <f t="shared" si="3"/>
        <v>1</v>
      </c>
      <c r="AB14" s="702">
        <f t="shared" si="4"/>
        <v>1</v>
      </c>
      <c r="AC14" s="1954">
        <f t="shared" si="5"/>
        <v>1</v>
      </c>
    </row>
    <row r="15" spans="1:29" ht="71.25">
      <c r="A15" s="390" t="s">
        <v>1688</v>
      </c>
      <c r="B15" s="576" t="s">
        <v>1809</v>
      </c>
      <c r="C15" s="1956"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7"/>
      <c r="M15" s="2711"/>
      <c r="N15" s="2711"/>
      <c r="O15" s="2711"/>
      <c r="P15" s="3714" t="s">
        <v>1689</v>
      </c>
      <c r="Q15" s="1347" t="str">
        <f t="shared" si="6"/>
        <v>办公集聚程度</v>
      </c>
      <c r="R15" s="703" t="s">
        <v>14</v>
      </c>
      <c r="S15" s="704">
        <f t="shared" si="0"/>
        <v>100</v>
      </c>
      <c r="T15" s="703" t="s">
        <v>14</v>
      </c>
      <c r="U15" s="704">
        <f t="shared" si="1"/>
        <v>100</v>
      </c>
      <c r="V15" s="703" t="s">
        <v>14</v>
      </c>
      <c r="W15" s="704">
        <f t="shared" si="2"/>
        <v>100</v>
      </c>
      <c r="X15" s="1350"/>
      <c r="Y15" s="3707" t="s">
        <v>1689</v>
      </c>
      <c r="Z15" s="1351" t="str">
        <f t="shared" si="7"/>
        <v>办公集聚程度</v>
      </c>
      <c r="AA15" s="1348">
        <f t="shared" si="3"/>
        <v>1</v>
      </c>
      <c r="AB15" s="1348">
        <f t="shared" si="4"/>
        <v>1</v>
      </c>
      <c r="AC15" s="1957">
        <f t="shared" si="5"/>
        <v>1</v>
      </c>
    </row>
    <row r="16" spans="1:29" ht="15">
      <c r="A16" s="378"/>
      <c r="B16" s="577"/>
      <c r="C16" s="1899"/>
      <c r="D16" s="398"/>
      <c r="E16" s="397"/>
      <c r="F16" s="398"/>
      <c r="G16" s="1899"/>
      <c r="H16" s="400"/>
      <c r="I16" s="397"/>
      <c r="J16" s="398"/>
      <c r="K16" s="563"/>
      <c r="L16" s="2717"/>
      <c r="M16" s="2711"/>
      <c r="N16" s="2711"/>
      <c r="O16" s="2711"/>
      <c r="P16" s="3715"/>
      <c r="Q16" s="1347"/>
      <c r="R16" s="703"/>
      <c r="S16" s="704"/>
      <c r="T16" s="703"/>
      <c r="U16" s="704"/>
      <c r="V16" s="703"/>
      <c r="W16" s="704"/>
      <c r="X16" s="1350"/>
      <c r="Y16" s="3708"/>
      <c r="Z16" s="1351"/>
      <c r="AA16" s="1348">
        <v>1</v>
      </c>
      <c r="AB16" s="1348">
        <v>1</v>
      </c>
      <c r="AC16" s="1957">
        <v>1</v>
      </c>
    </row>
    <row r="17" spans="1:29" ht="71.25">
      <c r="A17" s="378"/>
      <c r="B17" s="578" t="s">
        <v>1258</v>
      </c>
      <c r="C17" s="1958"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7"/>
      <c r="M17" s="2711"/>
      <c r="N17" s="2711"/>
      <c r="O17" s="2711"/>
      <c r="P17" s="3715"/>
      <c r="Q17" s="1347" t="str">
        <f>B17</f>
        <v>交通便捷度</v>
      </c>
      <c r="R17" s="703" t="s">
        <v>14</v>
      </c>
      <c r="S17" s="704">
        <f>F17</f>
        <v>100</v>
      </c>
      <c r="T17" s="703" t="s">
        <v>14</v>
      </c>
      <c r="U17" s="704">
        <f>H17</f>
        <v>100</v>
      </c>
      <c r="V17" s="703" t="s">
        <v>14</v>
      </c>
      <c r="W17" s="704">
        <f>J17</f>
        <v>100</v>
      </c>
      <c r="X17" s="1350"/>
      <c r="Y17" s="3708"/>
      <c r="Z17" s="1351" t="str">
        <f>Q17</f>
        <v>交通便捷度</v>
      </c>
      <c r="AA17" s="1348">
        <f t="shared" si="3"/>
        <v>1</v>
      </c>
      <c r="AB17" s="1348">
        <f t="shared" si="4"/>
        <v>1</v>
      </c>
      <c r="AC17" s="1957">
        <f t="shared" si="5"/>
        <v>1</v>
      </c>
    </row>
    <row r="18" spans="1:29" ht="15">
      <c r="A18" s="378"/>
      <c r="B18" s="579"/>
      <c r="C18" s="1959"/>
      <c r="D18" s="400"/>
      <c r="E18" s="1897"/>
      <c r="F18" s="400"/>
      <c r="G18" s="1898"/>
      <c r="H18" s="398"/>
      <c r="I18" s="1898"/>
      <c r="J18" s="398"/>
      <c r="K18" s="563"/>
      <c r="L18" s="2717"/>
      <c r="M18" s="2711"/>
      <c r="N18" s="2711"/>
      <c r="O18" s="2711"/>
      <c r="P18" s="3715"/>
      <c r="Q18" s="1347"/>
      <c r="R18" s="703"/>
      <c r="S18" s="704"/>
      <c r="T18" s="703"/>
      <c r="U18" s="704"/>
      <c r="V18" s="703"/>
      <c r="W18" s="704"/>
      <c r="X18" s="1350"/>
      <c r="Y18" s="3708"/>
      <c r="Z18" s="1351"/>
      <c r="AA18" s="1348">
        <v>1</v>
      </c>
      <c r="AB18" s="1348">
        <v>1</v>
      </c>
      <c r="AC18" s="1957">
        <v>1</v>
      </c>
    </row>
    <row r="19" spans="1:29" ht="42.75">
      <c r="A19" s="378"/>
      <c r="B19" s="578" t="s">
        <v>1810</v>
      </c>
      <c r="C19" s="1958"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7"/>
      <c r="M19" s="2711"/>
      <c r="N19" s="2711"/>
      <c r="O19" s="2711"/>
      <c r="P19" s="3715"/>
      <c r="Q19" s="1347" t="str">
        <f>B19</f>
        <v>公共配套设施</v>
      </c>
      <c r="R19" s="703" t="s">
        <v>14</v>
      </c>
      <c r="S19" s="704">
        <f>F19</f>
        <v>100</v>
      </c>
      <c r="T19" s="703" t="s">
        <v>14</v>
      </c>
      <c r="U19" s="704">
        <f>H19</f>
        <v>100</v>
      </c>
      <c r="V19" s="703" t="s">
        <v>14</v>
      </c>
      <c r="W19" s="704">
        <f>J19</f>
        <v>100</v>
      </c>
      <c r="X19" s="1350"/>
      <c r="Y19" s="3708"/>
      <c r="Z19" s="1351" t="str">
        <f>Q19</f>
        <v>公共配套设施</v>
      </c>
      <c r="AA19" s="1348">
        <f t="shared" si="3"/>
        <v>1</v>
      </c>
      <c r="AB19" s="1348">
        <f t="shared" si="4"/>
        <v>1</v>
      </c>
      <c r="AC19" s="1957">
        <f t="shared" si="5"/>
        <v>1</v>
      </c>
    </row>
    <row r="20" spans="1:29" ht="15">
      <c r="A20" s="378"/>
      <c r="B20" s="579"/>
      <c r="C20" s="1899"/>
      <c r="D20" s="398"/>
      <c r="E20" s="1892"/>
      <c r="F20" s="398"/>
      <c r="G20" s="1893"/>
      <c r="H20" s="398"/>
      <c r="I20" s="1893"/>
      <c r="J20" s="398"/>
      <c r="K20" s="563"/>
      <c r="L20" s="2717"/>
      <c r="M20" s="2711"/>
      <c r="N20" s="2711"/>
      <c r="O20" s="2711"/>
      <c r="P20" s="3715"/>
      <c r="Q20" s="1347"/>
      <c r="R20" s="703"/>
      <c r="S20" s="704"/>
      <c r="T20" s="703"/>
      <c r="U20" s="704"/>
      <c r="V20" s="703"/>
      <c r="W20" s="704"/>
      <c r="X20" s="1350"/>
      <c r="Y20" s="3708"/>
      <c r="Z20" s="1351"/>
      <c r="AA20" s="1348">
        <v>1</v>
      </c>
      <c r="AB20" s="1348">
        <v>1</v>
      </c>
      <c r="AC20" s="1957">
        <v>1</v>
      </c>
    </row>
    <row r="21" spans="1:29" ht="28.5">
      <c r="A21" s="378"/>
      <c r="B21" s="580" t="s">
        <v>1811</v>
      </c>
      <c r="C21" s="1958"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7"/>
      <c r="M21" s="2711"/>
      <c r="N21" s="2711"/>
      <c r="O21" s="2711"/>
      <c r="P21" s="3715"/>
      <c r="Q21" s="1347" t="str">
        <f>B21</f>
        <v>基础设施水平</v>
      </c>
      <c r="R21" s="703" t="s">
        <v>14</v>
      </c>
      <c r="S21" s="704">
        <f>F21</f>
        <v>100</v>
      </c>
      <c r="T21" s="703" t="s">
        <v>14</v>
      </c>
      <c r="U21" s="704">
        <f>H21</f>
        <v>100</v>
      </c>
      <c r="V21" s="703" t="s">
        <v>14</v>
      </c>
      <c r="W21" s="704">
        <f>J21</f>
        <v>100</v>
      </c>
      <c r="X21" s="1350"/>
      <c r="Y21" s="3708"/>
      <c r="Z21" s="1351" t="str">
        <f>Q21</f>
        <v>基础设施水平</v>
      </c>
      <c r="AA21" s="1348">
        <f t="shared" ref="AA21" si="8">D21/F21</f>
        <v>1</v>
      </c>
      <c r="AB21" s="1348">
        <f t="shared" ref="AB21" si="9">D21/H21</f>
        <v>1</v>
      </c>
      <c r="AC21" s="1957">
        <f t="shared" ref="AC21" si="10">D21/J21</f>
        <v>1</v>
      </c>
    </row>
    <row r="22" spans="1:29" ht="15">
      <c r="A22" s="378"/>
      <c r="B22" s="580"/>
      <c r="C22" s="1959"/>
      <c r="D22" s="398"/>
      <c r="E22" s="397"/>
      <c r="F22" s="398"/>
      <c r="G22" s="1899"/>
      <c r="H22" s="398"/>
      <c r="I22" s="1899"/>
      <c r="J22" s="398"/>
      <c r="K22" s="1126"/>
      <c r="L22" s="2717"/>
      <c r="M22" s="2711"/>
      <c r="N22" s="2711"/>
      <c r="O22" s="2711"/>
      <c r="P22" s="3715"/>
      <c r="Q22" s="1347"/>
      <c r="R22" s="703"/>
      <c r="S22" s="704"/>
      <c r="T22" s="703"/>
      <c r="U22" s="704"/>
      <c r="V22" s="703"/>
      <c r="W22" s="704"/>
      <c r="X22" s="1350"/>
      <c r="Y22" s="3708"/>
      <c r="Z22" s="1351"/>
      <c r="AA22" s="1348">
        <v>1</v>
      </c>
      <c r="AB22" s="1348">
        <v>1</v>
      </c>
      <c r="AC22" s="1957">
        <v>1</v>
      </c>
    </row>
    <row r="23" spans="1:29" ht="42.75">
      <c r="A23" s="378"/>
      <c r="B23" s="578" t="s">
        <v>1812</v>
      </c>
      <c r="C23" s="1958"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7"/>
      <c r="M23" s="2711"/>
      <c r="N23" s="2711"/>
      <c r="O23" s="2711"/>
      <c r="P23" s="3715"/>
      <c r="Q23" s="1347" t="str">
        <f>B23</f>
        <v>环境质量</v>
      </c>
      <c r="R23" s="703" t="s">
        <v>14</v>
      </c>
      <c r="S23" s="704">
        <f>F23</f>
        <v>100</v>
      </c>
      <c r="T23" s="703" t="s">
        <v>14</v>
      </c>
      <c r="U23" s="704">
        <f>H23</f>
        <v>100</v>
      </c>
      <c r="V23" s="703" t="s">
        <v>14</v>
      </c>
      <c r="W23" s="704">
        <f>J23</f>
        <v>100</v>
      </c>
      <c r="X23" s="1350"/>
      <c r="Y23" s="3708"/>
      <c r="Z23" s="1351" t="str">
        <f>Q23</f>
        <v>环境质量</v>
      </c>
      <c r="AA23" s="1348">
        <f t="shared" si="3"/>
        <v>1</v>
      </c>
      <c r="AB23" s="1348">
        <f t="shared" si="4"/>
        <v>1</v>
      </c>
      <c r="AC23" s="1957">
        <f t="shared" si="5"/>
        <v>1</v>
      </c>
    </row>
    <row r="24" spans="1:29" ht="15">
      <c r="A24" s="378"/>
      <c r="B24" s="580"/>
      <c r="C24" s="1899"/>
      <c r="D24" s="398"/>
      <c r="E24" s="1892"/>
      <c r="F24" s="398"/>
      <c r="G24" s="1893"/>
      <c r="H24" s="398"/>
      <c r="I24" s="1893"/>
      <c r="J24" s="398"/>
      <c r="K24" s="563"/>
      <c r="L24" s="2717"/>
      <c r="M24" s="2711"/>
      <c r="N24" s="2711"/>
      <c r="O24" s="2711"/>
      <c r="P24" s="3715"/>
      <c r="Q24" s="1347"/>
      <c r="R24" s="703"/>
      <c r="S24" s="704"/>
      <c r="T24" s="703"/>
      <c r="U24" s="704"/>
      <c r="V24" s="703"/>
      <c r="W24" s="704"/>
      <c r="X24" s="1350"/>
      <c r="Y24" s="3708"/>
      <c r="Z24" s="1351"/>
      <c r="AA24" s="1348">
        <v>1</v>
      </c>
      <c r="AB24" s="1348">
        <v>1</v>
      </c>
      <c r="AC24" s="1957">
        <v>1</v>
      </c>
    </row>
    <row r="25" spans="1:29" ht="27">
      <c r="A25" s="357"/>
      <c r="B25" s="578" t="s">
        <v>1813</v>
      </c>
      <c r="C25" s="1903"/>
      <c r="D25" s="385">
        <v>100</v>
      </c>
      <c r="E25" s="384"/>
      <c r="F25" s="385">
        <f>SUMIF(87:87,E26,88:88)-SUMIF(87:87,C26,88:88)+100</f>
        <v>100</v>
      </c>
      <c r="G25" s="1903"/>
      <c r="H25" s="385">
        <f>SUMIF(87:87,G26,88:88)-SUMIF(87:87,C26,88:88)+100</f>
        <v>100</v>
      </c>
      <c r="I25" s="384"/>
      <c r="J25" s="385">
        <f>SUMIF(87:87,I26,88:88)-SUMIF(87:87,C26,88:88)+100</f>
        <v>100</v>
      </c>
      <c r="K25" s="562"/>
      <c r="L25" s="2717"/>
      <c r="M25" s="2711"/>
      <c r="N25" s="2711"/>
      <c r="O25" s="2711"/>
      <c r="P25" s="3715"/>
      <c r="Q25" s="1347" t="str">
        <f>B25</f>
        <v>毗邻道路的类型与等级</v>
      </c>
      <c r="R25" s="703" t="s">
        <v>14</v>
      </c>
      <c r="S25" s="704">
        <f>F25</f>
        <v>100</v>
      </c>
      <c r="T25" s="703" t="s">
        <v>14</v>
      </c>
      <c r="U25" s="704">
        <f>H25</f>
        <v>100</v>
      </c>
      <c r="V25" s="703" t="s">
        <v>14</v>
      </c>
      <c r="W25" s="704">
        <f>J25</f>
        <v>100</v>
      </c>
      <c r="X25" s="1350"/>
      <c r="Y25" s="3708"/>
      <c r="Z25" s="1351" t="str">
        <f>Q25</f>
        <v>毗邻道路的类型与等级</v>
      </c>
      <c r="AA25" s="1348">
        <f t="shared" si="3"/>
        <v>1</v>
      </c>
      <c r="AB25" s="1348">
        <f t="shared" si="4"/>
        <v>1</v>
      </c>
      <c r="AC25" s="1957">
        <f t="shared" si="5"/>
        <v>1</v>
      </c>
    </row>
    <row r="26" spans="1:29" ht="15">
      <c r="A26" s="357"/>
      <c r="B26" s="579"/>
      <c r="C26" s="581"/>
      <c r="D26" s="385"/>
      <c r="E26" s="564"/>
      <c r="F26" s="385"/>
      <c r="G26" s="581"/>
      <c r="H26" s="385"/>
      <c r="I26" s="564"/>
      <c r="J26" s="385"/>
      <c r="K26" s="563"/>
      <c r="L26" s="2717"/>
      <c r="M26" s="2711"/>
      <c r="N26" s="2711"/>
      <c r="O26" s="2711"/>
      <c r="P26" s="3715"/>
      <c r="Q26" s="1347"/>
      <c r="R26" s="703"/>
      <c r="S26" s="704"/>
      <c r="T26" s="703"/>
      <c r="U26" s="704"/>
      <c r="V26" s="703"/>
      <c r="W26" s="704"/>
      <c r="X26" s="1350"/>
      <c r="Y26" s="3708"/>
      <c r="Z26" s="1351"/>
      <c r="AA26" s="1348">
        <v>1</v>
      </c>
      <c r="AB26" s="1348">
        <v>1</v>
      </c>
      <c r="AC26" s="1957">
        <v>1</v>
      </c>
    </row>
    <row r="27" spans="1:29" ht="15">
      <c r="A27" s="378"/>
      <c r="B27" s="579" t="s">
        <v>1781</v>
      </c>
      <c r="C27" s="581"/>
      <c r="D27" s="385">
        <v>100</v>
      </c>
      <c r="E27" s="564"/>
      <c r="F27" s="385">
        <f>SUMIF(89:89,E27,90:90)-SUMIF(89:89,C27,90:90)+100</f>
        <v>100</v>
      </c>
      <c r="G27" s="581"/>
      <c r="H27" s="385">
        <f>SUMIF(89:89,G27,90:90)-SUMIF(89:89,C27,90:90)+100</f>
        <v>100</v>
      </c>
      <c r="I27" s="564"/>
      <c r="J27" s="385">
        <f>SUMIF(89:89,I27,90:90)-SUMIF(89:89,C27,90:90)+100</f>
        <v>100</v>
      </c>
      <c r="K27" s="560"/>
      <c r="L27" s="2717"/>
      <c r="M27" s="2711"/>
      <c r="N27" s="2711"/>
      <c r="O27" s="2711"/>
      <c r="P27" s="3715"/>
      <c r="Q27" s="1347" t="str">
        <f t="shared" ref="Q27:Q47" si="11">B27</f>
        <v>楼层</v>
      </c>
      <c r="R27" s="703" t="s">
        <v>14</v>
      </c>
      <c r="S27" s="704">
        <f>F27</f>
        <v>100</v>
      </c>
      <c r="T27" s="703" t="s">
        <v>14</v>
      </c>
      <c r="U27" s="704">
        <f>H27</f>
        <v>100</v>
      </c>
      <c r="V27" s="703" t="s">
        <v>14</v>
      </c>
      <c r="W27" s="704">
        <f>J27</f>
        <v>100</v>
      </c>
      <c r="X27" s="1350"/>
      <c r="Y27" s="3708"/>
      <c r="Z27" s="1351" t="str">
        <f>Q27</f>
        <v>楼层</v>
      </c>
      <c r="AA27" s="1348">
        <f t="shared" si="3"/>
        <v>1</v>
      </c>
      <c r="AB27" s="1348">
        <f t="shared" si="4"/>
        <v>1</v>
      </c>
      <c r="AC27" s="1957">
        <f t="shared" si="5"/>
        <v>1</v>
      </c>
    </row>
    <row r="28" spans="1:29" s="108" customFormat="1" ht="15">
      <c r="A28" s="381"/>
      <c r="B28" s="578" t="s">
        <v>1814</v>
      </c>
      <c r="C28" s="1960"/>
      <c r="D28" s="412">
        <v>100</v>
      </c>
      <c r="E28" s="1951"/>
      <c r="F28" s="412">
        <f>SUMIF(91:91,E28,92:92)-SUMIF(91:91,C28,92:92)+100</f>
        <v>100</v>
      </c>
      <c r="G28" s="1960"/>
      <c r="H28" s="412">
        <f>SUMIF(91:91,G28,92:92)-SUMIF(91:91,C28,92:92)+100</f>
        <v>100</v>
      </c>
      <c r="I28" s="1951"/>
      <c r="J28" s="412">
        <f>SUMIF(91:91,I28,92:92)-SUMIF(91:91,C28,92:92)+100</f>
        <v>100</v>
      </c>
      <c r="K28" s="560"/>
      <c r="L28" s="2712"/>
      <c r="M28" s="2713"/>
      <c r="N28" s="2713"/>
      <c r="O28" s="2713"/>
      <c r="P28" s="3715"/>
      <c r="Q28" s="1338" t="str">
        <f t="shared" si="11"/>
        <v>朝向</v>
      </c>
      <c r="R28" s="699" t="s">
        <v>14</v>
      </c>
      <c r="S28" s="700">
        <f>F28</f>
        <v>100</v>
      </c>
      <c r="T28" s="699" t="s">
        <v>14</v>
      </c>
      <c r="U28" s="700">
        <f>H28</f>
        <v>100</v>
      </c>
      <c r="V28" s="699" t="s">
        <v>14</v>
      </c>
      <c r="W28" s="700">
        <f>J28</f>
        <v>100</v>
      </c>
      <c r="X28" s="701"/>
      <c r="Y28" s="3708"/>
      <c r="Z28" s="52" t="str">
        <f>Q28</f>
        <v>朝向</v>
      </c>
      <c r="AA28" s="1348">
        <f>D28/F28</f>
        <v>1</v>
      </c>
      <c r="AB28" s="1348">
        <f>D28/H28</f>
        <v>1</v>
      </c>
      <c r="AC28" s="1957">
        <f>D28/J28</f>
        <v>1</v>
      </c>
    </row>
    <row r="29" spans="1:29" ht="15">
      <c r="A29" s="378"/>
      <c r="B29" s="1961">
        <v>111</v>
      </c>
      <c r="C29" s="1903"/>
      <c r="D29" s="385">
        <v>100</v>
      </c>
      <c r="E29" s="382"/>
      <c r="F29" s="385">
        <f>SUMIF(93:93,E29,94:94)-SUMIF(93:93,C29,94:94)+100</f>
        <v>100</v>
      </c>
      <c r="G29" s="1955"/>
      <c r="H29" s="385">
        <f>SUMIF(93:93,G29,94:94)-SUMIF(93:93,C29,94:94)+100</f>
        <v>100</v>
      </c>
      <c r="I29" s="382"/>
      <c r="J29" s="385">
        <f>SUMIF(93:93,I29,94:94)-SUMIF(93:93,C29,94:94)+100</f>
        <v>100</v>
      </c>
      <c r="K29" s="561"/>
      <c r="L29" s="2717"/>
      <c r="M29" s="2711"/>
      <c r="N29" s="2711"/>
      <c r="O29" s="2711"/>
      <c r="P29" s="3715"/>
      <c r="Q29" s="1347">
        <f t="shared" si="11"/>
        <v>111</v>
      </c>
      <c r="R29" s="703" t="s">
        <v>14</v>
      </c>
      <c r="S29" s="704">
        <f t="shared" ref="S29:S47" si="12">F29</f>
        <v>100</v>
      </c>
      <c r="T29" s="703" t="s">
        <v>14</v>
      </c>
      <c r="U29" s="704">
        <f t="shared" ref="U29:U47" si="13">H29</f>
        <v>100</v>
      </c>
      <c r="V29" s="703" t="s">
        <v>14</v>
      </c>
      <c r="W29" s="704">
        <f t="shared" ref="W29:W47" si="14">J29</f>
        <v>100</v>
      </c>
      <c r="X29" s="1350"/>
      <c r="Y29" s="3708"/>
      <c r="Z29" s="1351">
        <f t="shared" ref="Z29:Z47" si="15">Q29</f>
        <v>111</v>
      </c>
      <c r="AA29" s="1348">
        <f t="shared" si="3"/>
        <v>1</v>
      </c>
      <c r="AB29" s="1348">
        <f t="shared" si="4"/>
        <v>1</v>
      </c>
      <c r="AC29" s="1957">
        <f t="shared" si="5"/>
        <v>1</v>
      </c>
    </row>
    <row r="30" spans="1:29" ht="15">
      <c r="A30" s="378"/>
      <c r="B30" s="1961">
        <v>111</v>
      </c>
      <c r="C30" s="1903"/>
      <c r="D30" s="385">
        <v>100</v>
      </c>
      <c r="E30" s="382"/>
      <c r="F30" s="385">
        <f>SUMIF(95:95,E30,96:96)-SUMIF(95:95,C30,96:96)+100</f>
        <v>100</v>
      </c>
      <c r="G30" s="1955"/>
      <c r="H30" s="385">
        <f>SUMIF(95:95,G30,96:96)-SUMIF(95:95,C30,96:96)+100</f>
        <v>100</v>
      </c>
      <c r="I30" s="382"/>
      <c r="J30" s="385">
        <f>SUMIF(95:95,I30,96:96)-SUMIF(95:95,C30,96:96)+100</f>
        <v>100</v>
      </c>
      <c r="K30" s="561"/>
      <c r="L30" s="2717"/>
      <c r="M30" s="2711"/>
      <c r="N30" s="2711"/>
      <c r="O30" s="2711"/>
      <c r="P30" s="3715"/>
      <c r="Q30" s="1347">
        <f t="shared" si="11"/>
        <v>111</v>
      </c>
      <c r="R30" s="703" t="s">
        <v>14</v>
      </c>
      <c r="S30" s="704">
        <f t="shared" si="12"/>
        <v>100</v>
      </c>
      <c r="T30" s="703" t="s">
        <v>14</v>
      </c>
      <c r="U30" s="704">
        <f t="shared" si="13"/>
        <v>100</v>
      </c>
      <c r="V30" s="703" t="s">
        <v>14</v>
      </c>
      <c r="W30" s="704">
        <f t="shared" si="14"/>
        <v>100</v>
      </c>
      <c r="X30" s="1350"/>
      <c r="Y30" s="3708"/>
      <c r="Z30" s="1351">
        <f t="shared" si="15"/>
        <v>111</v>
      </c>
      <c r="AA30" s="1348">
        <f t="shared" si="3"/>
        <v>1</v>
      </c>
      <c r="AB30" s="1348">
        <f t="shared" si="4"/>
        <v>1</v>
      </c>
      <c r="AC30" s="1957">
        <f t="shared" si="5"/>
        <v>1</v>
      </c>
    </row>
    <row r="31" spans="1:29" ht="15">
      <c r="A31" s="378"/>
      <c r="B31" s="1961">
        <v>111</v>
      </c>
      <c r="C31" s="1903"/>
      <c r="D31" s="385">
        <v>100</v>
      </c>
      <c r="E31" s="382"/>
      <c r="F31" s="385">
        <f>SUMIF(97:97,E31,98:98)-SUMIF(97:97,C31,98:98)+100</f>
        <v>100</v>
      </c>
      <c r="G31" s="1955"/>
      <c r="H31" s="385">
        <f>SUMIF(97:97,G31,98:98)-SUMIF(97:97,C31,98:98)+100</f>
        <v>100</v>
      </c>
      <c r="I31" s="382"/>
      <c r="J31" s="385">
        <f>SUMIF(97:97,I31,98:98)-SUMIF(97:97,C31,98:98)+100</f>
        <v>100</v>
      </c>
      <c r="K31" s="561"/>
      <c r="L31" s="2717"/>
      <c r="M31" s="2711"/>
      <c r="N31" s="2711"/>
      <c r="O31" s="2711"/>
      <c r="P31" s="3715"/>
      <c r="Q31" s="1347">
        <f t="shared" si="11"/>
        <v>111</v>
      </c>
      <c r="R31" s="703" t="s">
        <v>14</v>
      </c>
      <c r="S31" s="704">
        <f t="shared" si="12"/>
        <v>100</v>
      </c>
      <c r="T31" s="703" t="s">
        <v>14</v>
      </c>
      <c r="U31" s="704">
        <f t="shared" si="13"/>
        <v>100</v>
      </c>
      <c r="V31" s="703" t="s">
        <v>14</v>
      </c>
      <c r="W31" s="704">
        <f t="shared" si="14"/>
        <v>100</v>
      </c>
      <c r="X31" s="1350"/>
      <c r="Y31" s="3708"/>
      <c r="Z31" s="1351">
        <f t="shared" si="15"/>
        <v>111</v>
      </c>
      <c r="AA31" s="1348">
        <f t="shared" si="3"/>
        <v>1</v>
      </c>
      <c r="AB31" s="1348">
        <f t="shared" si="4"/>
        <v>1</v>
      </c>
      <c r="AC31" s="1957">
        <f t="shared" si="5"/>
        <v>1</v>
      </c>
    </row>
    <row r="32" spans="1:29" ht="15.75" thickBot="1">
      <c r="A32" s="386"/>
      <c r="B32" s="582">
        <v>111</v>
      </c>
      <c r="C32" s="1904"/>
      <c r="D32" s="388">
        <v>100</v>
      </c>
      <c r="E32" s="575"/>
      <c r="F32" s="388">
        <f>SUMIF(99:99,E32,100:100)-SUMIF(99:99,C32,100:100)+100</f>
        <v>100</v>
      </c>
      <c r="G32" s="1955"/>
      <c r="H32" s="388">
        <f>SUMIF(99:99,G32,100:100)-SUMIF(99:99,C32,100:100)+100</f>
        <v>100</v>
      </c>
      <c r="I32" s="382"/>
      <c r="J32" s="388">
        <f>SUMIF(99:99,I32,100:100)-SUMIF(99:99,C32,100:100)+100</f>
        <v>100</v>
      </c>
      <c r="K32" s="561"/>
      <c r="L32" s="2717"/>
      <c r="M32" s="2711"/>
      <c r="N32" s="2711"/>
      <c r="O32" s="2711"/>
      <c r="P32" s="3715"/>
      <c r="Q32" s="1347">
        <f t="shared" si="11"/>
        <v>111</v>
      </c>
      <c r="R32" s="703" t="s">
        <v>14</v>
      </c>
      <c r="S32" s="704">
        <f t="shared" si="12"/>
        <v>100</v>
      </c>
      <c r="T32" s="703" t="s">
        <v>14</v>
      </c>
      <c r="U32" s="704">
        <f t="shared" si="13"/>
        <v>100</v>
      </c>
      <c r="V32" s="703" t="s">
        <v>14</v>
      </c>
      <c r="W32" s="704">
        <f t="shared" si="14"/>
        <v>100</v>
      </c>
      <c r="X32" s="1350"/>
      <c r="Y32" s="3708"/>
      <c r="Z32" s="1351">
        <f t="shared" si="15"/>
        <v>111</v>
      </c>
      <c r="AA32" s="1348">
        <f t="shared" si="3"/>
        <v>1</v>
      </c>
      <c r="AB32" s="1348">
        <f t="shared" si="4"/>
        <v>1</v>
      </c>
      <c r="AC32" s="1957">
        <f t="shared" si="5"/>
        <v>1</v>
      </c>
    </row>
    <row r="33" spans="1:29" ht="15">
      <c r="A33" s="390" t="s">
        <v>1692</v>
      </c>
      <c r="B33" s="63" t="s">
        <v>1815</v>
      </c>
      <c r="C33" s="1962"/>
      <c r="D33" s="417">
        <v>100</v>
      </c>
      <c r="E33" s="1962"/>
      <c r="F33" s="411">
        <f>SUMIF(101:101,E33,102:102)-SUMIF(101:101,C33,102:102)+100</f>
        <v>100</v>
      </c>
      <c r="G33" s="1962"/>
      <c r="H33" s="385">
        <f>SUMIF(101:101,G33,102:102)-SUMIF(101:101,C33,102:102)+100</f>
        <v>100</v>
      </c>
      <c r="I33" s="1962"/>
      <c r="J33" s="417">
        <f>SUMIF(101:101,I33,102:102)-SUMIF(101:101,C33,102:102)+100</f>
        <v>100</v>
      </c>
      <c r="K33" s="560"/>
      <c r="L33" s="2717"/>
      <c r="M33" s="2711"/>
      <c r="N33" s="2711"/>
      <c r="O33" s="2711"/>
      <c r="P33" s="3709" t="s">
        <v>1694</v>
      </c>
      <c r="Q33" s="1347" t="str">
        <f t="shared" si="11"/>
        <v>建筑类型</v>
      </c>
      <c r="R33" s="703" t="s">
        <v>14</v>
      </c>
      <c r="S33" s="704">
        <f t="shared" si="12"/>
        <v>100</v>
      </c>
      <c r="T33" s="703" t="s">
        <v>14</v>
      </c>
      <c r="U33" s="704">
        <f t="shared" si="13"/>
        <v>100</v>
      </c>
      <c r="V33" s="703" t="s">
        <v>14</v>
      </c>
      <c r="W33" s="704">
        <f t="shared" si="14"/>
        <v>100</v>
      </c>
      <c r="X33" s="1350"/>
      <c r="Y33" s="3712" t="s">
        <v>1694</v>
      </c>
      <c r="Z33" s="1351" t="str">
        <f t="shared" si="15"/>
        <v>建筑类型</v>
      </c>
      <c r="AA33" s="1348">
        <f t="shared" si="3"/>
        <v>1</v>
      </c>
      <c r="AB33" s="1348">
        <f t="shared" si="4"/>
        <v>1</v>
      </c>
      <c r="AC33" s="1957">
        <f t="shared" si="5"/>
        <v>1</v>
      </c>
    </row>
    <row r="34" spans="1:29" s="421" customFormat="1" ht="15">
      <c r="A34" s="418"/>
      <c r="B34" s="374" t="s">
        <v>1695</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6"/>
      <c r="M34" s="2718"/>
      <c r="N34" s="2718"/>
      <c r="O34" s="2718"/>
      <c r="P34" s="3710"/>
      <c r="Q34" s="705" t="str">
        <f t="shared" si="11"/>
        <v>项目建筑规模</v>
      </c>
      <c r="R34" s="706" t="s">
        <v>14</v>
      </c>
      <c r="S34" s="707" t="e">
        <f t="shared" si="12"/>
        <v>#N/A</v>
      </c>
      <c r="T34" s="706" t="s">
        <v>14</v>
      </c>
      <c r="U34" s="707" t="e">
        <f t="shared" si="13"/>
        <v>#N/A</v>
      </c>
      <c r="V34" s="706" t="s">
        <v>14</v>
      </c>
      <c r="W34" s="707" t="e">
        <f t="shared" si="14"/>
        <v>#N/A</v>
      </c>
      <c r="X34" s="708"/>
      <c r="Y34" s="3712"/>
      <c r="Z34" s="709" t="str">
        <f t="shared" si="15"/>
        <v>项目建筑规模</v>
      </c>
      <c r="AA34" s="1348" t="e">
        <f t="shared" si="3"/>
        <v>#N/A</v>
      </c>
      <c r="AB34" s="1348" t="e">
        <f t="shared" si="4"/>
        <v>#N/A</v>
      </c>
      <c r="AC34" s="1957" t="e">
        <f t="shared" si="5"/>
        <v>#N/A</v>
      </c>
    </row>
    <row r="35" spans="1:29" ht="15">
      <c r="A35" s="422"/>
      <c r="B35" s="374" t="s">
        <v>1696</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7"/>
      <c r="M35" s="2711"/>
      <c r="N35" s="2711"/>
      <c r="O35" s="2711"/>
      <c r="P35" s="3710"/>
      <c r="Q35" s="1347" t="str">
        <f t="shared" si="11"/>
        <v>建筑结构</v>
      </c>
      <c r="R35" s="703" t="s">
        <v>14</v>
      </c>
      <c r="S35" s="704">
        <f t="shared" si="12"/>
        <v>100</v>
      </c>
      <c r="T35" s="703" t="s">
        <v>14</v>
      </c>
      <c r="U35" s="704">
        <f t="shared" si="13"/>
        <v>100</v>
      </c>
      <c r="V35" s="703" t="s">
        <v>14</v>
      </c>
      <c r="W35" s="704">
        <f t="shared" si="14"/>
        <v>100</v>
      </c>
      <c r="X35" s="1350"/>
      <c r="Y35" s="3712"/>
      <c r="Z35" s="1351" t="str">
        <f t="shared" si="15"/>
        <v>建筑结构</v>
      </c>
      <c r="AA35" s="1348">
        <f t="shared" si="3"/>
        <v>1</v>
      </c>
      <c r="AB35" s="1348">
        <f t="shared" si="4"/>
        <v>1</v>
      </c>
      <c r="AC35" s="1957">
        <f t="shared" si="5"/>
        <v>1</v>
      </c>
    </row>
    <row r="36" spans="1:29" ht="15">
      <c r="A36" s="422"/>
      <c r="B36" s="374" t="s">
        <v>1783</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7"/>
      <c r="M36" s="2711"/>
      <c r="N36" s="2711"/>
      <c r="O36" s="2711"/>
      <c r="P36" s="3710"/>
      <c r="Q36" s="1347" t="str">
        <f t="shared" si="11"/>
        <v>公共部分装修</v>
      </c>
      <c r="R36" s="703" t="s">
        <v>14</v>
      </c>
      <c r="S36" s="704">
        <f t="shared" si="12"/>
        <v>100</v>
      </c>
      <c r="T36" s="703" t="s">
        <v>14</v>
      </c>
      <c r="U36" s="704">
        <f t="shared" si="13"/>
        <v>100</v>
      </c>
      <c r="V36" s="703" t="s">
        <v>14</v>
      </c>
      <c r="W36" s="704">
        <f t="shared" si="14"/>
        <v>100</v>
      </c>
      <c r="X36" s="1350"/>
      <c r="Y36" s="3712"/>
      <c r="Z36" s="1351" t="str">
        <f t="shared" si="15"/>
        <v>公共部分装修</v>
      </c>
      <c r="AA36" s="1348">
        <f t="shared" si="3"/>
        <v>1</v>
      </c>
      <c r="AB36" s="1348">
        <f t="shared" si="4"/>
        <v>1</v>
      </c>
      <c r="AC36" s="1957">
        <f t="shared" si="5"/>
        <v>1</v>
      </c>
    </row>
    <row r="37" spans="1:29" ht="15">
      <c r="A37" s="422"/>
      <c r="B37" s="374" t="s">
        <v>1784</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7"/>
      <c r="M37" s="2711"/>
      <c r="N37" s="2711"/>
      <c r="O37" s="2711"/>
      <c r="P37" s="3710"/>
      <c r="Q37" s="1347" t="str">
        <f t="shared" si="11"/>
        <v>成新度</v>
      </c>
      <c r="R37" s="703" t="s">
        <v>14</v>
      </c>
      <c r="S37" s="704" t="e">
        <f t="shared" si="12"/>
        <v>#N/A</v>
      </c>
      <c r="T37" s="703" t="s">
        <v>14</v>
      </c>
      <c r="U37" s="704" t="e">
        <f t="shared" si="13"/>
        <v>#N/A</v>
      </c>
      <c r="V37" s="703" t="s">
        <v>14</v>
      </c>
      <c r="W37" s="704" t="e">
        <f t="shared" si="14"/>
        <v>#N/A</v>
      </c>
      <c r="X37" s="1350"/>
      <c r="Y37" s="3712"/>
      <c r="Z37" s="1351" t="str">
        <f t="shared" si="15"/>
        <v>成新度</v>
      </c>
      <c r="AA37" s="1348" t="e">
        <f t="shared" si="3"/>
        <v>#N/A</v>
      </c>
      <c r="AB37" s="1348" t="e">
        <f t="shared" si="4"/>
        <v>#N/A</v>
      </c>
      <c r="AC37" s="1957" t="e">
        <f t="shared" si="5"/>
        <v>#N/A</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2"/>
      <c r="M38" s="2713"/>
      <c r="N38" s="2713"/>
      <c r="O38" s="2713"/>
      <c r="P38" s="3710"/>
      <c r="Q38" s="1338" t="str">
        <f t="shared" si="11"/>
        <v>写字楼等级</v>
      </c>
      <c r="R38" s="699" t="s">
        <v>14</v>
      </c>
      <c r="S38" s="700">
        <f t="shared" si="12"/>
        <v>100</v>
      </c>
      <c r="T38" s="699" t="s">
        <v>14</v>
      </c>
      <c r="U38" s="700">
        <f t="shared" si="13"/>
        <v>100</v>
      </c>
      <c r="V38" s="699" t="s">
        <v>14</v>
      </c>
      <c r="W38" s="700">
        <f t="shared" si="14"/>
        <v>100</v>
      </c>
      <c r="X38" s="701"/>
      <c r="Y38" s="3712"/>
      <c r="Z38" s="52" t="str">
        <f t="shared" si="15"/>
        <v>写字楼等级</v>
      </c>
      <c r="AA38" s="702">
        <f t="shared" si="3"/>
        <v>1</v>
      </c>
      <c r="AB38" s="702">
        <f t="shared" si="4"/>
        <v>1</v>
      </c>
      <c r="AC38" s="1954">
        <f t="shared" si="5"/>
        <v>1</v>
      </c>
    </row>
    <row r="39" spans="1:29" ht="15">
      <c r="A39" s="422"/>
      <c r="B39" s="374" t="s">
        <v>1817</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7"/>
      <c r="M39" s="2711"/>
      <c r="N39" s="2711"/>
      <c r="O39" s="2711"/>
      <c r="P39" s="3710" t="s">
        <v>1694</v>
      </c>
      <c r="Q39" s="1347" t="str">
        <f t="shared" si="11"/>
        <v>物业管理</v>
      </c>
      <c r="R39" s="703" t="s">
        <v>14</v>
      </c>
      <c r="S39" s="704">
        <f t="shared" si="12"/>
        <v>100</v>
      </c>
      <c r="T39" s="703" t="s">
        <v>14</v>
      </c>
      <c r="U39" s="704">
        <f t="shared" si="13"/>
        <v>100</v>
      </c>
      <c r="V39" s="703" t="s">
        <v>14</v>
      </c>
      <c r="W39" s="704">
        <f t="shared" si="14"/>
        <v>100</v>
      </c>
      <c r="X39" s="1350"/>
      <c r="Y39" s="3712" t="s">
        <v>1694</v>
      </c>
      <c r="Z39" s="1351" t="str">
        <f t="shared" si="15"/>
        <v>物业管理</v>
      </c>
      <c r="AA39" s="1348">
        <f t="shared" si="3"/>
        <v>1</v>
      </c>
      <c r="AB39" s="1348">
        <f t="shared" si="4"/>
        <v>1</v>
      </c>
      <c r="AC39" s="1957">
        <f t="shared" si="5"/>
        <v>1</v>
      </c>
    </row>
    <row r="40" spans="1:29" ht="15">
      <c r="A40" s="422"/>
      <c r="B40" s="374" t="s">
        <v>1785</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7"/>
      <c r="M40" s="2711"/>
      <c r="N40" s="2711"/>
      <c r="O40" s="2711"/>
      <c r="P40" s="3710"/>
      <c r="Q40" s="1347" t="str">
        <f t="shared" si="11"/>
        <v>市政基础设施</v>
      </c>
      <c r="R40" s="703" t="s">
        <v>14</v>
      </c>
      <c r="S40" s="704">
        <f t="shared" si="12"/>
        <v>100</v>
      </c>
      <c r="T40" s="703" t="s">
        <v>14</v>
      </c>
      <c r="U40" s="704">
        <f t="shared" si="13"/>
        <v>100</v>
      </c>
      <c r="V40" s="703" t="s">
        <v>14</v>
      </c>
      <c r="W40" s="704">
        <f t="shared" si="14"/>
        <v>100</v>
      </c>
      <c r="X40" s="1350"/>
      <c r="Y40" s="3712"/>
      <c r="Z40" s="1351" t="str">
        <f t="shared" si="15"/>
        <v>市政基础设施</v>
      </c>
      <c r="AA40" s="1348">
        <f t="shared" si="3"/>
        <v>1</v>
      </c>
      <c r="AB40" s="1348">
        <f t="shared" si="4"/>
        <v>1</v>
      </c>
      <c r="AC40" s="1957">
        <f t="shared" si="5"/>
        <v>1</v>
      </c>
    </row>
    <row r="41" spans="1:29" ht="15">
      <c r="A41" s="422"/>
      <c r="B41" s="374" t="s">
        <v>1787</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7"/>
      <c r="M41" s="2711"/>
      <c r="N41" s="2711"/>
      <c r="O41" s="2711"/>
      <c r="P41" s="3710"/>
      <c r="Q41" s="1347" t="str">
        <f t="shared" si="11"/>
        <v>层高</v>
      </c>
      <c r="R41" s="703" t="s">
        <v>14</v>
      </c>
      <c r="S41" s="704">
        <f t="shared" si="12"/>
        <v>100</v>
      </c>
      <c r="T41" s="703" t="s">
        <v>14</v>
      </c>
      <c r="U41" s="704">
        <f t="shared" si="13"/>
        <v>100</v>
      </c>
      <c r="V41" s="703" t="s">
        <v>14</v>
      </c>
      <c r="W41" s="704">
        <f t="shared" si="14"/>
        <v>100</v>
      </c>
      <c r="X41" s="1350"/>
      <c r="Y41" s="3712"/>
      <c r="Z41" s="1351" t="str">
        <f t="shared" si="15"/>
        <v>层高</v>
      </c>
      <c r="AA41" s="1348">
        <f t="shared" si="3"/>
        <v>1</v>
      </c>
      <c r="AB41" s="1348">
        <f t="shared" si="4"/>
        <v>1</v>
      </c>
      <c r="AC41" s="1957">
        <f t="shared" si="5"/>
        <v>1</v>
      </c>
    </row>
    <row r="42" spans="1:29" s="421" customFormat="1" ht="15">
      <c r="A42" s="418"/>
      <c r="B42" s="1349"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6"/>
      <c r="M42" s="2718"/>
      <c r="N42" s="2718"/>
      <c r="O42" s="2718"/>
      <c r="P42" s="3710"/>
      <c r="Q42" s="705" t="str">
        <f t="shared" si="11"/>
        <v>单套建筑面积</v>
      </c>
      <c r="R42" s="706" t="s">
        <v>14</v>
      </c>
      <c r="S42" s="707">
        <f t="shared" si="12"/>
        <v>100</v>
      </c>
      <c r="T42" s="706" t="s">
        <v>14</v>
      </c>
      <c r="U42" s="707">
        <f t="shared" si="13"/>
        <v>100</v>
      </c>
      <c r="V42" s="706" t="s">
        <v>14</v>
      </c>
      <c r="W42" s="707">
        <f t="shared" si="14"/>
        <v>100</v>
      </c>
      <c r="X42" s="708"/>
      <c r="Y42" s="3712"/>
      <c r="Z42" s="709" t="str">
        <f t="shared" si="15"/>
        <v>单套建筑面积</v>
      </c>
      <c r="AA42" s="1348">
        <f t="shared" si="3"/>
        <v>1</v>
      </c>
      <c r="AB42" s="1348">
        <f t="shared" si="4"/>
        <v>1</v>
      </c>
      <c r="AC42" s="1957">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7"/>
      <c r="M43" s="2711"/>
      <c r="N43" s="2711"/>
      <c r="O43" s="2711"/>
      <c r="P43" s="3710"/>
      <c r="Q43" s="1347" t="str">
        <f t="shared" si="11"/>
        <v>内部装修</v>
      </c>
      <c r="R43" s="703" t="s">
        <v>14</v>
      </c>
      <c r="S43" s="704">
        <f t="shared" si="12"/>
        <v>100</v>
      </c>
      <c r="T43" s="703" t="s">
        <v>14</v>
      </c>
      <c r="U43" s="704">
        <f t="shared" si="13"/>
        <v>100</v>
      </c>
      <c r="V43" s="703" t="s">
        <v>14</v>
      </c>
      <c r="W43" s="704">
        <f t="shared" si="14"/>
        <v>100</v>
      </c>
      <c r="X43" s="1350"/>
      <c r="Y43" s="3712"/>
      <c r="Z43" s="1351" t="str">
        <f t="shared" si="15"/>
        <v>内部装修</v>
      </c>
      <c r="AA43" s="1348">
        <f t="shared" si="3"/>
        <v>1</v>
      </c>
      <c r="AB43" s="1348">
        <f t="shared" si="4"/>
        <v>1</v>
      </c>
      <c r="AC43" s="1957">
        <f t="shared" si="5"/>
        <v>1</v>
      </c>
    </row>
    <row r="44" spans="1:29" ht="15">
      <c r="A44" s="422"/>
      <c r="B44" s="374" t="s">
        <v>1705</v>
      </c>
      <c r="C44" s="410"/>
      <c r="D44" s="385">
        <v>100</v>
      </c>
      <c r="E44" s="1901"/>
      <c r="F44" s="411">
        <f>SUMIF(125:125,E44,126:126)-SUMIF(125:125,C44,126:126)+100</f>
        <v>100</v>
      </c>
      <c r="G44" s="1901"/>
      <c r="H44" s="385">
        <f>SUMIF(125:125,G44,126:126)-SUMIF(125:125,C44,126:126)+100</f>
        <v>100</v>
      </c>
      <c r="I44" s="1901"/>
      <c r="J44" s="385">
        <f>SUMIF(125:125,I44,126:126)-SUMIF(125:125,C44,126:126)+100</f>
        <v>100</v>
      </c>
      <c r="K44" s="560"/>
      <c r="L44" s="2717"/>
      <c r="M44" s="2711"/>
      <c r="N44" s="2711"/>
      <c r="O44" s="2711"/>
      <c r="P44" s="3710"/>
      <c r="Q44" s="1347" t="str">
        <f t="shared" si="11"/>
        <v>内部装修维护情况</v>
      </c>
      <c r="R44" s="703" t="s">
        <v>14</v>
      </c>
      <c r="S44" s="704">
        <f t="shared" si="12"/>
        <v>100</v>
      </c>
      <c r="T44" s="703" t="s">
        <v>14</v>
      </c>
      <c r="U44" s="704">
        <f t="shared" si="13"/>
        <v>100</v>
      </c>
      <c r="V44" s="703" t="s">
        <v>14</v>
      </c>
      <c r="W44" s="704">
        <f t="shared" si="14"/>
        <v>100</v>
      </c>
      <c r="X44" s="1350"/>
      <c r="Y44" s="3712"/>
      <c r="Z44" s="1351" t="str">
        <f t="shared" si="15"/>
        <v>内部装修维护情况</v>
      </c>
      <c r="AA44" s="1348">
        <f t="shared" si="3"/>
        <v>1</v>
      </c>
      <c r="AB44" s="1348">
        <f t="shared" si="4"/>
        <v>1</v>
      </c>
      <c r="AC44" s="1957">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2"/>
      <c r="M45" s="2713"/>
      <c r="N45" s="2713"/>
      <c r="O45" s="2713"/>
      <c r="P45" s="3710"/>
      <c r="Q45" s="1338">
        <f t="shared" si="11"/>
        <v>111</v>
      </c>
      <c r="R45" s="699" t="s">
        <v>14</v>
      </c>
      <c r="S45" s="700">
        <f t="shared" si="12"/>
        <v>100</v>
      </c>
      <c r="T45" s="699" t="s">
        <v>14</v>
      </c>
      <c r="U45" s="700">
        <f t="shared" si="13"/>
        <v>100</v>
      </c>
      <c r="V45" s="699" t="s">
        <v>14</v>
      </c>
      <c r="W45" s="700">
        <f t="shared" si="14"/>
        <v>100</v>
      </c>
      <c r="X45" s="701"/>
      <c r="Y45" s="3712"/>
      <c r="Z45" s="52">
        <f t="shared" si="15"/>
        <v>111</v>
      </c>
      <c r="AA45" s="702">
        <f t="shared" si="3"/>
        <v>1</v>
      </c>
      <c r="AB45" s="702">
        <f t="shared" si="4"/>
        <v>1</v>
      </c>
      <c r="AC45" s="1954">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7"/>
      <c r="M46" s="2711"/>
      <c r="N46" s="2711"/>
      <c r="O46" s="2711"/>
      <c r="P46" s="3710"/>
      <c r="Q46" s="1347">
        <f t="shared" si="11"/>
        <v>111</v>
      </c>
      <c r="R46" s="703" t="s">
        <v>14</v>
      </c>
      <c r="S46" s="704">
        <f t="shared" si="12"/>
        <v>100</v>
      </c>
      <c r="T46" s="703" t="s">
        <v>14</v>
      </c>
      <c r="U46" s="704">
        <f t="shared" si="13"/>
        <v>100</v>
      </c>
      <c r="V46" s="703" t="s">
        <v>14</v>
      </c>
      <c r="W46" s="704">
        <f t="shared" si="14"/>
        <v>100</v>
      </c>
      <c r="X46" s="1350"/>
      <c r="Y46" s="3712"/>
      <c r="Z46" s="1351">
        <f t="shared" si="15"/>
        <v>111</v>
      </c>
      <c r="AA46" s="1348">
        <f t="shared" si="3"/>
        <v>1</v>
      </c>
      <c r="AB46" s="1348">
        <f t="shared" si="4"/>
        <v>1</v>
      </c>
      <c r="AC46" s="1957">
        <f t="shared" si="5"/>
        <v>1</v>
      </c>
    </row>
    <row r="47" spans="1:29" ht="15.75" thickBot="1">
      <c r="A47" s="428"/>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7"/>
      <c r="M47" s="2711"/>
      <c r="N47" s="2711"/>
      <c r="O47" s="2711"/>
      <c r="P47" s="3711"/>
      <c r="Q47" s="1347">
        <f t="shared" si="11"/>
        <v>111</v>
      </c>
      <c r="R47" s="703" t="s">
        <v>14</v>
      </c>
      <c r="S47" s="704">
        <f t="shared" si="12"/>
        <v>100</v>
      </c>
      <c r="T47" s="703" t="s">
        <v>14</v>
      </c>
      <c r="U47" s="704">
        <f t="shared" si="13"/>
        <v>100</v>
      </c>
      <c r="V47" s="703" t="s">
        <v>14</v>
      </c>
      <c r="W47" s="704">
        <f t="shared" si="14"/>
        <v>100</v>
      </c>
      <c r="X47" s="1350"/>
      <c r="Y47" s="3713"/>
      <c r="Z47" s="1351">
        <f t="shared" si="15"/>
        <v>111</v>
      </c>
      <c r="AA47" s="1348">
        <f t="shared" si="3"/>
        <v>1</v>
      </c>
      <c r="AB47" s="1348">
        <f t="shared" si="4"/>
        <v>1</v>
      </c>
      <c r="AC47" s="1957">
        <f t="shared" si="5"/>
        <v>1</v>
      </c>
    </row>
    <row r="48" spans="1:29" ht="15">
      <c r="A48" s="429" t="s">
        <v>1706</v>
      </c>
      <c r="B48" s="430"/>
      <c r="C48" s="1150" t="s">
        <v>0</v>
      </c>
      <c r="D48" s="1151"/>
      <c r="E48" s="1152"/>
      <c r="F48" s="1153"/>
      <c r="G48" s="1154"/>
      <c r="H48" s="1155"/>
      <c r="I48" s="1152"/>
      <c r="J48" s="435"/>
      <c r="K48" s="712"/>
      <c r="L48" s="2719"/>
      <c r="M48" s="2711"/>
      <c r="N48" s="2711"/>
      <c r="O48" s="2711"/>
      <c r="P48" s="3716" t="str">
        <f>A48</f>
        <v>成交单价（元/平方米）</v>
      </c>
      <c r="Q48" s="3705"/>
      <c r="R48" s="3706">
        <f>E48</f>
        <v>0</v>
      </c>
      <c r="S48" s="3706"/>
      <c r="T48" s="3706">
        <f>G48</f>
        <v>0</v>
      </c>
      <c r="U48" s="3706"/>
      <c r="V48" s="3706">
        <f>I48</f>
        <v>0</v>
      </c>
      <c r="W48" s="3706"/>
      <c r="X48" s="396"/>
      <c r="Y48" s="710"/>
      <c r="Z48" s="396"/>
      <c r="AA48" s="396"/>
      <c r="AB48" s="396"/>
      <c r="AC48" s="577"/>
    </row>
    <row r="49" spans="1:29" ht="15.75" thickBot="1">
      <c r="A49" s="436" t="s">
        <v>1791</v>
      </c>
      <c r="B49" s="437"/>
      <c r="C49" s="1156" t="e">
        <f>R50</f>
        <v>#DIV/0!</v>
      </c>
      <c r="D49" s="2312" t="s">
        <v>2135</v>
      </c>
      <c r="E49" s="1157" t="e">
        <f>R49</f>
        <v>#DIV/0!</v>
      </c>
      <c r="F49" s="2313"/>
      <c r="G49" s="1156" t="e">
        <f>T49</f>
        <v>#DIV/0!</v>
      </c>
      <c r="H49" s="2313"/>
      <c r="I49" s="1157" t="e">
        <f>V49</f>
        <v>#DIV/0!</v>
      </c>
      <c r="J49" s="2313"/>
      <c r="K49" s="2315">
        <f>F49+H49+J49</f>
        <v>0</v>
      </c>
      <c r="L49" s="2719"/>
      <c r="M49" s="2711"/>
      <c r="N49" s="2711"/>
      <c r="O49" s="2711"/>
      <c r="P49" s="3716"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6"/>
      <c r="Y49" s="396"/>
      <c r="Z49" s="396"/>
      <c r="AA49" s="396"/>
      <c r="AB49" s="396"/>
      <c r="AC49" s="577"/>
    </row>
    <row r="50" spans="1:29" ht="15.75" thickBot="1">
      <c r="A50" s="440" t="s">
        <v>1792</v>
      </c>
      <c r="B50" s="441"/>
      <c r="C50" s="1159" t="e">
        <f>R50</f>
        <v>#DIV/0!</v>
      </c>
      <c r="D50" s="1159"/>
      <c r="E50" s="1159"/>
      <c r="F50" s="1159"/>
      <c r="G50" s="1159"/>
      <c r="H50" s="1159"/>
      <c r="I50" s="1159"/>
      <c r="J50" s="442"/>
      <c r="K50" s="713"/>
      <c r="L50" s="2719"/>
      <c r="M50" s="2711"/>
      <c r="N50" s="2711"/>
      <c r="O50" s="2711"/>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5" t="s">
        <v>1793</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5" t="s">
        <v>1794</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0" customFormat="1" ht="13.5" customHeight="1">
      <c r="A55" s="2723"/>
      <c r="B55" s="2723"/>
      <c r="C55" s="445" t="s">
        <v>1795</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0"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1796</v>
      </c>
      <c r="B58" s="688"/>
      <c r="C58" s="693"/>
      <c r="D58" s="693"/>
      <c r="E58" s="693"/>
      <c r="F58" s="694"/>
      <c r="G58" s="694"/>
      <c r="H58" s="693"/>
      <c r="I58" s="693"/>
      <c r="J58" s="693"/>
      <c r="K58" s="695"/>
      <c r="L58" s="938"/>
      <c r="M58" s="936"/>
      <c r="N58" s="2764"/>
      <c r="O58" s="2764"/>
      <c r="P58" s="2753"/>
      <c r="Q58" s="2734"/>
      <c r="R58" s="2720"/>
      <c r="S58" s="2720"/>
      <c r="T58" s="2720"/>
      <c r="U58" s="2720"/>
      <c r="V58" s="2720"/>
      <c r="W58" s="2720"/>
      <c r="X58" s="2720"/>
      <c r="Y58" s="2720"/>
      <c r="Z58" s="2720"/>
      <c r="AA58" s="2720"/>
      <c r="AB58" s="2720"/>
      <c r="AC58" s="2720"/>
    </row>
    <row r="59" spans="1:29" s="456" customFormat="1" ht="15">
      <c r="A59" s="453" t="s">
        <v>1677</v>
      </c>
      <c r="B59" s="454"/>
      <c r="C59" s="1179" t="str">
        <f>YEAR(C7)&amp;"-"&amp;MONTH(C7)</f>
        <v>2024-1</v>
      </c>
      <c r="D59" s="1180">
        <f>EDATE(C59,-1)</f>
        <v>45261</v>
      </c>
      <c r="E59" s="1180">
        <f>EDATE(D59,-1)</f>
        <v>45231</v>
      </c>
      <c r="F59" s="1180">
        <f t="shared" ref="F59:O59" si="16">EDATE(E59,-1)</f>
        <v>45200</v>
      </c>
      <c r="G59" s="1180">
        <f t="shared" si="16"/>
        <v>45170</v>
      </c>
      <c r="H59" s="1180">
        <f t="shared" si="16"/>
        <v>45139</v>
      </c>
      <c r="I59" s="1180">
        <f t="shared" si="16"/>
        <v>45108</v>
      </c>
      <c r="J59" s="1180">
        <f t="shared" si="16"/>
        <v>45078</v>
      </c>
      <c r="K59" s="1180">
        <f t="shared" si="16"/>
        <v>45047</v>
      </c>
      <c r="L59" s="1180">
        <f t="shared" si="16"/>
        <v>45017</v>
      </c>
      <c r="M59" s="1180">
        <f t="shared" si="16"/>
        <v>44986</v>
      </c>
      <c r="N59" s="1180">
        <f t="shared" si="16"/>
        <v>44958</v>
      </c>
      <c r="O59" s="1180">
        <f t="shared" si="16"/>
        <v>44927</v>
      </c>
      <c r="P59" s="2754"/>
      <c r="Q59" s="2736"/>
      <c r="R59" s="2736"/>
      <c r="S59" s="2736"/>
      <c r="T59" s="2736"/>
      <c r="U59" s="2736"/>
      <c r="V59" s="2736"/>
      <c r="W59" s="2736"/>
      <c r="X59" s="2736"/>
      <c r="Y59" s="2736"/>
      <c r="Z59" s="2736"/>
      <c r="AA59" s="2736"/>
      <c r="AB59" s="2736"/>
      <c r="AC59" s="2736"/>
    </row>
    <row r="60" spans="1:29" s="108" customFormat="1" ht="15">
      <c r="A60" s="457"/>
      <c r="B60" s="458"/>
      <c r="C60" s="1178">
        <v>100</v>
      </c>
      <c r="D60" s="460"/>
      <c r="E60" s="460"/>
      <c r="F60" s="460"/>
      <c r="G60" s="460"/>
      <c r="H60" s="460"/>
      <c r="I60" s="460"/>
      <c r="J60" s="460"/>
      <c r="K60" s="460"/>
      <c r="L60" s="460"/>
      <c r="M60" s="461"/>
      <c r="N60" s="460"/>
      <c r="O60" s="461"/>
      <c r="P60" s="2755"/>
      <c r="Q60" s="2656"/>
      <c r="R60" s="2656"/>
      <c r="S60" s="2656"/>
      <c r="T60" s="2656"/>
      <c r="U60" s="2656"/>
      <c r="V60" s="2656"/>
      <c r="W60" s="2656"/>
      <c r="X60" s="2656"/>
      <c r="Y60" s="2656"/>
      <c r="Z60" s="2656"/>
      <c r="AA60" s="2656"/>
      <c r="AB60" s="2656"/>
      <c r="AC60" s="2656"/>
    </row>
    <row r="61" spans="1:29" s="108" customFormat="1" ht="15.75" thickBot="1">
      <c r="A61" s="463" t="s">
        <v>1714</v>
      </c>
      <c r="B61" s="464"/>
      <c r="C61" s="465"/>
      <c r="D61" s="466"/>
      <c r="E61" s="466"/>
      <c r="F61" s="466"/>
      <c r="G61" s="466"/>
      <c r="H61" s="466"/>
      <c r="I61" s="466"/>
      <c r="J61" s="466"/>
      <c r="K61" s="466"/>
      <c r="L61" s="466"/>
      <c r="M61" s="467"/>
      <c r="N61" s="466"/>
      <c r="O61" s="467"/>
      <c r="P61" s="2755"/>
      <c r="Q61" s="2734"/>
      <c r="R61" s="2656"/>
      <c r="S61" s="2656"/>
      <c r="T61" s="2656"/>
      <c r="U61" s="2656"/>
      <c r="V61" s="2656"/>
      <c r="W61" s="2656"/>
      <c r="X61" s="2656"/>
      <c r="Y61" s="2656"/>
      <c r="Z61" s="2656"/>
      <c r="AA61" s="2656"/>
      <c r="AB61" s="2656"/>
      <c r="AC61" s="2656"/>
    </row>
    <row r="62" spans="1:29" s="108" customFormat="1" ht="15">
      <c r="A62" s="469" t="s">
        <v>1679</v>
      </c>
      <c r="B62" s="458"/>
      <c r="C62" s="470" t="s">
        <v>1774</v>
      </c>
      <c r="D62" s="471"/>
      <c r="E62" s="471"/>
      <c r="F62" s="471"/>
      <c r="G62" s="471"/>
      <c r="H62" s="471"/>
      <c r="I62" s="471"/>
      <c r="J62" s="471"/>
      <c r="K62" s="471"/>
      <c r="L62" s="472"/>
      <c r="M62" s="473"/>
      <c r="N62" s="2747"/>
      <c r="O62" s="2747"/>
      <c r="P62" s="2756"/>
      <c r="Q62" s="2734"/>
      <c r="R62" s="2656"/>
      <c r="S62" s="2656"/>
      <c r="T62" s="2656"/>
      <c r="U62" s="2656"/>
      <c r="V62" s="2656"/>
      <c r="W62" s="2656"/>
      <c r="X62" s="2656"/>
      <c r="Y62" s="2656"/>
      <c r="Z62" s="2656"/>
      <c r="AA62" s="2656"/>
      <c r="AB62" s="2656"/>
      <c r="AC62" s="2656"/>
    </row>
    <row r="63" spans="1:29" s="108" customFormat="1" ht="15.75" thickBot="1">
      <c r="A63" s="469"/>
      <c r="B63" s="458"/>
      <c r="C63" s="459">
        <v>100</v>
      </c>
      <c r="D63" s="460"/>
      <c r="E63" s="460"/>
      <c r="F63" s="460"/>
      <c r="G63" s="460"/>
      <c r="H63" s="460"/>
      <c r="I63" s="460"/>
      <c r="J63" s="460"/>
      <c r="K63" s="460"/>
      <c r="L63" s="460"/>
      <c r="M63" s="462"/>
      <c r="N63" s="2747"/>
      <c r="O63" s="2747"/>
      <c r="P63" s="2755"/>
      <c r="Q63" s="2734"/>
      <c r="R63" s="2656"/>
      <c r="S63" s="2656"/>
      <c r="T63" s="2656"/>
      <c r="U63" s="2656"/>
      <c r="V63" s="2656"/>
      <c r="W63" s="2656"/>
      <c r="X63" s="2656"/>
      <c r="Y63" s="2656"/>
      <c r="Z63" s="2656"/>
      <c r="AA63" s="2656"/>
      <c r="AB63" s="2656"/>
      <c r="AC63" s="2656"/>
    </row>
    <row r="64" spans="1:29">
      <c r="A64" s="475" t="s">
        <v>1717</v>
      </c>
      <c r="B64" s="476" t="s">
        <v>1683</v>
      </c>
      <c r="C64" s="477">
        <f>C9</f>
        <v>0</v>
      </c>
      <c r="D64" s="478"/>
      <c r="E64" s="478"/>
      <c r="F64" s="478"/>
      <c r="G64" s="478"/>
      <c r="H64" s="478"/>
      <c r="I64" s="478"/>
      <c r="J64" s="478"/>
      <c r="K64" s="479"/>
      <c r="L64" s="480"/>
      <c r="M64" s="481"/>
      <c r="N64" s="2748"/>
      <c r="O64" s="2748"/>
      <c r="P64" s="2757"/>
      <c r="Q64" s="2734"/>
      <c r="R64" s="2720"/>
      <c r="S64" s="2720"/>
      <c r="T64" s="2720"/>
      <c r="U64" s="2720"/>
      <c r="V64" s="2720"/>
      <c r="W64" s="2720"/>
      <c r="X64" s="2720"/>
      <c r="Y64" s="2720"/>
      <c r="Z64" s="2720"/>
      <c r="AA64" s="2720"/>
      <c r="AB64" s="2720"/>
      <c r="AC64" s="2720"/>
    </row>
    <row r="65" spans="1:29" ht="15.75" thickBot="1">
      <c r="A65" s="482"/>
      <c r="B65" s="483"/>
      <c r="C65" s="484">
        <v>100</v>
      </c>
      <c r="D65" s="484"/>
      <c r="E65" s="484"/>
      <c r="F65" s="484"/>
      <c r="G65" s="484"/>
      <c r="H65" s="484"/>
      <c r="I65" s="484"/>
      <c r="J65" s="484"/>
      <c r="K65" s="484"/>
      <c r="L65" s="484"/>
      <c r="M65" s="485"/>
      <c r="N65" s="2749"/>
      <c r="O65" s="2749"/>
      <c r="P65" s="2757"/>
      <c r="Q65" s="2734"/>
      <c r="R65" s="2720"/>
      <c r="S65" s="2720"/>
      <c r="T65" s="2720"/>
      <c r="U65" s="2720"/>
      <c r="V65" s="2720"/>
      <c r="W65" s="2720"/>
      <c r="X65" s="2720"/>
      <c r="Y65" s="2720"/>
      <c r="Z65" s="2720"/>
      <c r="AA65" s="2720"/>
      <c r="AB65" s="2720"/>
      <c r="AC65" s="2720"/>
    </row>
    <row r="66" spans="1:29" ht="27.75" thickTop="1">
      <c r="A66" s="482"/>
      <c r="B66" s="486" t="s">
        <v>1686</v>
      </c>
      <c r="C66" s="531"/>
      <c r="D66" s="531"/>
      <c r="E66" s="531"/>
      <c r="F66" s="531"/>
      <c r="G66" s="531"/>
      <c r="H66" s="531"/>
      <c r="I66" s="531"/>
      <c r="J66" s="531"/>
      <c r="K66" s="532"/>
      <c r="L66" s="533"/>
      <c r="M66" s="534"/>
      <c r="N66" s="2748"/>
      <c r="O66" s="2748"/>
      <c r="P66" s="2757"/>
      <c r="Q66" s="2734"/>
      <c r="R66" s="2720"/>
      <c r="S66" s="2720"/>
      <c r="T66" s="2720"/>
      <c r="U66" s="2720"/>
      <c r="V66" s="2720"/>
      <c r="W66" s="2720"/>
      <c r="X66" s="2720"/>
      <c r="Y66" s="2720"/>
      <c r="Z66" s="2720"/>
      <c r="AA66" s="2720"/>
      <c r="AB66" s="2720"/>
      <c r="AC66" s="2720"/>
    </row>
    <row r="67" spans="1:29" ht="15.75" thickBot="1">
      <c r="A67" s="482"/>
      <c r="B67" s="491"/>
      <c r="C67" s="484"/>
      <c r="D67" s="484"/>
      <c r="E67" s="484"/>
      <c r="F67" s="484"/>
      <c r="G67" s="484"/>
      <c r="H67" s="484"/>
      <c r="I67" s="484"/>
      <c r="J67" s="484"/>
      <c r="K67" s="484"/>
      <c r="L67" s="484"/>
      <c r="M67" s="485"/>
      <c r="N67" s="2749"/>
      <c r="O67" s="2749"/>
      <c r="P67" s="2757"/>
      <c r="Q67" s="2734"/>
      <c r="R67" s="2720"/>
      <c r="S67" s="2720"/>
      <c r="T67" s="2720"/>
      <c r="U67" s="2720"/>
      <c r="V67" s="2720"/>
      <c r="W67" s="2720"/>
      <c r="X67" s="2720"/>
      <c r="Y67" s="2720"/>
      <c r="Z67" s="2720"/>
      <c r="AA67" s="2720"/>
      <c r="AB67" s="2720"/>
      <c r="AC67" s="2720"/>
    </row>
    <row r="68" spans="1:29" ht="15.7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2"/>
      <c r="B69" s="496"/>
      <c r="C69" s="497">
        <v>0</v>
      </c>
      <c r="D69" s="497">
        <v>3</v>
      </c>
      <c r="E69" s="497"/>
      <c r="F69" s="497"/>
      <c r="G69" s="497"/>
      <c r="H69" s="497"/>
      <c r="I69" s="497"/>
      <c r="J69" s="497"/>
      <c r="K69" s="498"/>
      <c r="L69" s="499"/>
      <c r="M69" s="500"/>
      <c r="N69" s="2748"/>
      <c r="O69" s="2748"/>
      <c r="P69" s="2757"/>
      <c r="Q69" s="2734"/>
      <c r="R69" s="2720"/>
      <c r="S69" s="2720"/>
      <c r="T69" s="2720"/>
      <c r="U69" s="2720"/>
      <c r="V69" s="2720"/>
      <c r="W69" s="2720"/>
      <c r="X69" s="2720"/>
      <c r="Y69" s="2720"/>
      <c r="Z69" s="2720"/>
      <c r="AA69" s="2720"/>
      <c r="AB69" s="2720"/>
      <c r="AC69" s="2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9"/>
      <c r="O70" s="2749"/>
      <c r="P70" s="2757"/>
      <c r="Q70" s="2734"/>
      <c r="R70" s="2720"/>
      <c r="S70" s="2720"/>
      <c r="T70" s="2720"/>
      <c r="U70" s="2720"/>
      <c r="V70" s="2720"/>
      <c r="W70" s="2720"/>
      <c r="X70" s="2720"/>
      <c r="Y70" s="2720"/>
      <c r="Z70" s="2720"/>
      <c r="AA70" s="2720"/>
      <c r="AB70" s="2720"/>
      <c r="AC70" s="2720"/>
    </row>
    <row r="71" spans="1:29" s="421" customFormat="1" ht="15.75" thickTop="1">
      <c r="A71" s="501"/>
      <c r="B71" s="486">
        <f>B12</f>
        <v>111</v>
      </c>
      <c r="C71" s="502"/>
      <c r="D71" s="502"/>
      <c r="E71" s="502"/>
      <c r="F71" s="502"/>
      <c r="G71" s="502"/>
      <c r="H71" s="503"/>
      <c r="I71" s="503"/>
      <c r="J71" s="503"/>
      <c r="K71" s="503"/>
      <c r="L71" s="504"/>
      <c r="M71" s="505"/>
      <c r="N71" s="2750"/>
      <c r="O71" s="2750"/>
      <c r="P71" s="2758"/>
      <c r="Q71" s="2741"/>
      <c r="R71" s="2742"/>
      <c r="S71" s="2742"/>
      <c r="T71" s="2742"/>
      <c r="U71" s="2742"/>
      <c r="V71" s="2742"/>
      <c r="W71" s="2742"/>
      <c r="X71" s="2742"/>
      <c r="Y71" s="2742"/>
      <c r="Z71" s="2742"/>
      <c r="AA71" s="2742"/>
      <c r="AB71" s="2742"/>
      <c r="AC71" s="2742"/>
    </row>
    <row r="72" spans="1:29" s="421" customFormat="1" ht="15.75" thickBot="1">
      <c r="A72" s="501"/>
      <c r="B72" s="491"/>
      <c r="C72" s="508"/>
      <c r="D72" s="484"/>
      <c r="E72" s="484"/>
      <c r="F72" s="484"/>
      <c r="G72" s="484"/>
      <c r="H72" s="484"/>
      <c r="I72" s="484"/>
      <c r="J72" s="484"/>
      <c r="K72" s="484"/>
      <c r="L72" s="484"/>
      <c r="M72" s="485"/>
      <c r="N72" s="2749"/>
      <c r="O72" s="2749"/>
      <c r="P72" s="2758"/>
      <c r="Q72" s="2741"/>
      <c r="R72" s="2742"/>
      <c r="S72" s="2742"/>
      <c r="T72" s="2742"/>
      <c r="U72" s="2742"/>
      <c r="V72" s="2742"/>
      <c r="W72" s="2742"/>
      <c r="X72" s="2742"/>
      <c r="Y72" s="2742"/>
      <c r="Z72" s="2742"/>
      <c r="AA72" s="2742"/>
      <c r="AB72" s="2742"/>
      <c r="AC72" s="2742"/>
    </row>
    <row r="73" spans="1:29" s="421" customFormat="1" ht="15.75" thickTop="1">
      <c r="A73" s="501"/>
      <c r="B73" s="486">
        <f>B13</f>
        <v>111</v>
      </c>
      <c r="C73" s="502"/>
      <c r="D73" s="502"/>
      <c r="E73" s="502"/>
      <c r="F73" s="502"/>
      <c r="G73" s="502"/>
      <c r="H73" s="503"/>
      <c r="I73" s="503"/>
      <c r="J73" s="503"/>
      <c r="K73" s="503"/>
      <c r="L73" s="504"/>
      <c r="M73" s="505"/>
      <c r="N73" s="2750"/>
      <c r="O73" s="2750"/>
      <c r="P73" s="2759"/>
      <c r="Q73" s="2744"/>
      <c r="R73" s="2742"/>
      <c r="S73" s="2742"/>
      <c r="T73" s="2742"/>
      <c r="U73" s="2742"/>
      <c r="V73" s="2742"/>
      <c r="W73" s="2742"/>
      <c r="X73" s="2742"/>
      <c r="Y73" s="2742"/>
      <c r="Z73" s="2742"/>
      <c r="AA73" s="2742"/>
      <c r="AB73" s="2742"/>
      <c r="AC73" s="2742"/>
    </row>
    <row r="74" spans="1:29" s="421" customFormat="1" ht="15.75" thickBot="1">
      <c r="A74" s="501"/>
      <c r="B74" s="491"/>
      <c r="C74" s="508"/>
      <c r="D74" s="508"/>
      <c r="E74" s="508"/>
      <c r="F74" s="508"/>
      <c r="G74" s="508"/>
      <c r="H74" s="510"/>
      <c r="I74" s="510"/>
      <c r="J74" s="510"/>
      <c r="K74" s="510"/>
      <c r="L74" s="510"/>
      <c r="M74" s="511"/>
      <c r="N74" s="2750"/>
      <c r="O74" s="2750"/>
      <c r="P74" s="2758"/>
      <c r="Q74" s="2741"/>
      <c r="R74" s="2742"/>
      <c r="S74" s="2742"/>
      <c r="T74" s="2742"/>
      <c r="U74" s="2742"/>
      <c r="V74" s="2742"/>
      <c r="W74" s="2742"/>
      <c r="X74" s="2742"/>
      <c r="Y74" s="2742"/>
      <c r="Z74" s="2742"/>
      <c r="AA74" s="2742"/>
      <c r="AB74" s="2742"/>
      <c r="AC74" s="2742"/>
    </row>
    <row r="75" spans="1:29" s="421" customFormat="1" ht="15.75" thickTop="1">
      <c r="A75" s="501"/>
      <c r="B75" s="494">
        <f>B14</f>
        <v>111</v>
      </c>
      <c r="C75" s="471"/>
      <c r="D75" s="471"/>
      <c r="E75" s="471"/>
      <c r="F75" s="471"/>
      <c r="G75" s="471"/>
      <c r="H75" s="512"/>
      <c r="I75" s="512"/>
      <c r="J75" s="512"/>
      <c r="K75" s="512"/>
      <c r="L75" s="513"/>
      <c r="M75" s="514"/>
      <c r="N75" s="2750"/>
      <c r="O75" s="2750"/>
      <c r="P75" s="2760"/>
      <c r="Q75" s="2741"/>
      <c r="R75" s="2742"/>
      <c r="S75" s="2742"/>
      <c r="T75" s="2742"/>
      <c r="U75" s="2742"/>
      <c r="V75" s="2742"/>
      <c r="W75" s="2742"/>
      <c r="X75" s="2742"/>
      <c r="Y75" s="2742"/>
      <c r="Z75" s="2742"/>
      <c r="AA75" s="2742"/>
      <c r="AB75" s="2742"/>
      <c r="AC75" s="2742"/>
    </row>
    <row r="76" spans="1:29" s="421" customFormat="1" ht="15.75" thickBot="1">
      <c r="A76" s="516"/>
      <c r="B76" s="517"/>
      <c r="C76" s="518"/>
      <c r="D76" s="518"/>
      <c r="E76" s="518"/>
      <c r="F76" s="518"/>
      <c r="G76" s="518"/>
      <c r="H76" s="519"/>
      <c r="I76" s="519"/>
      <c r="J76" s="519"/>
      <c r="K76" s="519"/>
      <c r="L76" s="519"/>
      <c r="M76" s="520"/>
      <c r="N76" s="2750"/>
      <c r="O76" s="2750"/>
      <c r="P76" s="2758"/>
      <c r="Q76" s="2741"/>
      <c r="R76" s="2742"/>
      <c r="S76" s="2742"/>
      <c r="T76" s="2742"/>
      <c r="U76" s="2742"/>
      <c r="V76" s="2742"/>
      <c r="W76" s="2742"/>
      <c r="X76" s="2742"/>
      <c r="Y76" s="2742"/>
      <c r="Z76" s="2742"/>
      <c r="AA76" s="2742"/>
      <c r="AB76" s="2742"/>
      <c r="AC76" s="2742"/>
    </row>
    <row r="77" spans="1:29">
      <c r="A77" s="475" t="s">
        <v>1688</v>
      </c>
      <c r="B77" s="476" t="s">
        <v>1819</v>
      </c>
      <c r="C77" s="521" t="s">
        <v>1719</v>
      </c>
      <c r="D77" s="521" t="s">
        <v>1720</v>
      </c>
      <c r="E77" s="521" t="s">
        <v>1721</v>
      </c>
      <c r="F77" s="521" t="s">
        <v>1722</v>
      </c>
      <c r="G77" s="521" t="s">
        <v>1723</v>
      </c>
      <c r="H77" s="477"/>
      <c r="I77" s="477"/>
      <c r="J77" s="477"/>
      <c r="K77" s="522"/>
      <c r="L77" s="523"/>
      <c r="M77" s="524"/>
      <c r="N77" s="2748"/>
      <c r="O77" s="2748"/>
      <c r="P77" s="2761"/>
      <c r="Q77" s="2734"/>
      <c r="R77" s="2720"/>
      <c r="S77" s="2720"/>
      <c r="T77" s="2720"/>
      <c r="U77" s="2720"/>
      <c r="V77" s="2720"/>
      <c r="W77" s="2720"/>
      <c r="X77" s="2720"/>
      <c r="Y77" s="2720"/>
      <c r="Z77" s="2720"/>
      <c r="AA77" s="2720"/>
      <c r="AB77" s="2720"/>
      <c r="AC77" s="272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9"/>
      <c r="O78" s="2749"/>
      <c r="P78" s="2757"/>
      <c r="Q78" s="2734"/>
      <c r="R78" s="2720"/>
      <c r="S78" s="2720"/>
      <c r="T78" s="2720"/>
      <c r="U78" s="2720"/>
      <c r="V78" s="2720"/>
      <c r="W78" s="2720"/>
      <c r="X78" s="2720"/>
      <c r="Y78" s="2720"/>
      <c r="Z78" s="2720"/>
      <c r="AA78" s="2720"/>
      <c r="AB78" s="2720"/>
      <c r="AC78" s="2720"/>
    </row>
    <row r="79" spans="1:29" ht="15.75" thickTop="1">
      <c r="A79" s="482"/>
      <c r="B79" s="486" t="s">
        <v>1724</v>
      </c>
      <c r="C79" s="526" t="s">
        <v>1719</v>
      </c>
      <c r="D79" s="526" t="s">
        <v>1720</v>
      </c>
      <c r="E79" s="526" t="s">
        <v>1721</v>
      </c>
      <c r="F79" s="526" t="s">
        <v>1722</v>
      </c>
      <c r="G79" s="526" t="s">
        <v>1723</v>
      </c>
      <c r="H79" s="487"/>
      <c r="I79" s="487"/>
      <c r="J79" s="487"/>
      <c r="K79" s="488"/>
      <c r="L79" s="489"/>
      <c r="M79" s="490"/>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9"/>
      <c r="O80" s="2749"/>
      <c r="P80" s="2757"/>
      <c r="Q80" s="2734"/>
      <c r="R80" s="2720"/>
      <c r="S80" s="2720"/>
      <c r="T80" s="2720"/>
      <c r="U80" s="2720"/>
      <c r="V80" s="2720"/>
      <c r="W80" s="2720"/>
      <c r="X80" s="2720"/>
      <c r="Y80" s="2720"/>
      <c r="Z80" s="2720"/>
      <c r="AA80" s="2720"/>
      <c r="AB80" s="2720"/>
      <c r="AC80" s="2720"/>
    </row>
    <row r="81" spans="1:29" ht="15.75" thickTop="1">
      <c r="A81" s="482"/>
      <c r="B81" s="486" t="s">
        <v>1725</v>
      </c>
      <c r="C81" s="526" t="s">
        <v>1719</v>
      </c>
      <c r="D81" s="526" t="s">
        <v>1720</v>
      </c>
      <c r="E81" s="526" t="s">
        <v>1721</v>
      </c>
      <c r="F81" s="526" t="s">
        <v>1722</v>
      </c>
      <c r="G81" s="526" t="s">
        <v>1723</v>
      </c>
      <c r="H81" s="487"/>
      <c r="I81" s="487"/>
      <c r="J81" s="487"/>
      <c r="K81" s="488"/>
      <c r="L81" s="489"/>
      <c r="M81" s="490"/>
      <c r="N81" s="2748"/>
      <c r="O81" s="2748"/>
      <c r="P81" s="2757"/>
      <c r="Q81" s="2734"/>
      <c r="R81" s="2720"/>
      <c r="S81" s="2720"/>
      <c r="T81" s="2720"/>
      <c r="U81" s="2720"/>
      <c r="V81" s="2720"/>
      <c r="W81" s="2720"/>
      <c r="X81" s="2720"/>
      <c r="Y81" s="2720"/>
      <c r="Z81" s="2720"/>
      <c r="AA81" s="2720"/>
      <c r="AB81" s="2720"/>
      <c r="AC81" s="272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9"/>
      <c r="O82" s="2749"/>
      <c r="P82" s="2757"/>
      <c r="Q82" s="2734"/>
      <c r="R82" s="2720"/>
      <c r="S82" s="2720"/>
      <c r="T82" s="2720"/>
      <c r="U82" s="2720"/>
      <c r="V82" s="2720"/>
      <c r="W82" s="2720"/>
      <c r="X82" s="2720"/>
      <c r="Y82" s="2720"/>
      <c r="Z82" s="2720"/>
      <c r="AA82" s="2720"/>
      <c r="AB82" s="2720"/>
      <c r="AC82" s="2720"/>
    </row>
    <row r="83" spans="1:29" ht="15.75" thickTop="1">
      <c r="A83" s="482"/>
      <c r="B83" s="494" t="s">
        <v>1811</v>
      </c>
      <c r="C83" s="607" t="s">
        <v>1797</v>
      </c>
      <c r="D83" s="607" t="s">
        <v>1798</v>
      </c>
      <c r="E83" s="607" t="s">
        <v>1799</v>
      </c>
      <c r="F83" s="607" t="s">
        <v>1800</v>
      </c>
      <c r="G83" s="607" t="s">
        <v>1801</v>
      </c>
      <c r="H83" s="487"/>
      <c r="I83" s="487"/>
      <c r="J83" s="487"/>
      <c r="K83" s="487"/>
      <c r="L83" s="487"/>
      <c r="M83" s="1125"/>
      <c r="N83" s="2749"/>
      <c r="O83" s="2749"/>
      <c r="P83" s="2757"/>
      <c r="Q83" s="2734"/>
      <c r="R83" s="2720"/>
      <c r="S83" s="2720"/>
      <c r="T83" s="2720"/>
      <c r="U83" s="2720"/>
      <c r="V83" s="2720"/>
      <c r="W83" s="2720"/>
      <c r="X83" s="2720"/>
      <c r="Y83" s="2720"/>
      <c r="Z83" s="2720"/>
      <c r="AA83" s="2720"/>
      <c r="AB83" s="2720"/>
      <c r="AC83" s="2720"/>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9"/>
      <c r="O84" s="2749"/>
      <c r="P84" s="2757"/>
      <c r="Q84" s="2734"/>
      <c r="R84" s="2720"/>
      <c r="S84" s="2720"/>
      <c r="T84" s="2720"/>
      <c r="U84" s="2720"/>
      <c r="V84" s="2720"/>
      <c r="W84" s="2720"/>
      <c r="X84" s="2720"/>
      <c r="Y84" s="2720"/>
      <c r="Z84" s="2720"/>
      <c r="AA84" s="2720"/>
      <c r="AB84" s="2720"/>
      <c r="AC84" s="2720"/>
    </row>
    <row r="85" spans="1:29" ht="15.75" thickTop="1">
      <c r="A85" s="482"/>
      <c r="B85" s="486" t="s">
        <v>1820</v>
      </c>
      <c r="C85" s="526" t="s">
        <v>1719</v>
      </c>
      <c r="D85" s="526" t="s">
        <v>1720</v>
      </c>
      <c r="E85" s="526" t="s">
        <v>1721</v>
      </c>
      <c r="F85" s="526" t="s">
        <v>1722</v>
      </c>
      <c r="G85" s="526" t="s">
        <v>1723</v>
      </c>
      <c r="H85" s="487"/>
      <c r="I85" s="487"/>
      <c r="J85" s="487"/>
      <c r="K85" s="488"/>
      <c r="L85" s="489"/>
      <c r="M85" s="490"/>
      <c r="N85" s="2748"/>
      <c r="O85" s="2748"/>
      <c r="P85" s="2757"/>
      <c r="Q85" s="2734"/>
      <c r="R85" s="2720"/>
      <c r="S85" s="2720"/>
      <c r="T85" s="2720"/>
      <c r="U85" s="2720"/>
      <c r="V85" s="2720"/>
      <c r="W85" s="2720"/>
      <c r="X85" s="2720"/>
      <c r="Y85" s="2720"/>
      <c r="Z85" s="2720"/>
      <c r="AA85" s="2720"/>
      <c r="AB85" s="2720"/>
      <c r="AC85" s="272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9"/>
      <c r="O86" s="2749"/>
      <c r="P86" s="2757"/>
      <c r="Q86" s="2734"/>
      <c r="R86" s="2720"/>
      <c r="S86" s="2720"/>
      <c r="T86" s="2720"/>
      <c r="U86" s="2720"/>
      <c r="V86" s="2720"/>
      <c r="W86" s="2720"/>
      <c r="X86" s="2720"/>
      <c r="Y86" s="2720"/>
      <c r="Z86" s="2720"/>
      <c r="AA86" s="2720"/>
      <c r="AB86" s="2720"/>
      <c r="AC86" s="2720"/>
    </row>
    <row r="87" spans="1:29" s="108" customFormat="1" ht="27.75" thickTop="1">
      <c r="A87" s="527"/>
      <c r="B87" s="486" t="s">
        <v>1821</v>
      </c>
      <c r="C87" s="502"/>
      <c r="D87" s="502"/>
      <c r="E87" s="502"/>
      <c r="F87" s="502"/>
      <c r="G87" s="502"/>
      <c r="H87" s="502"/>
      <c r="I87" s="502"/>
      <c r="J87" s="502"/>
      <c r="K87" s="502"/>
      <c r="L87" s="528"/>
      <c r="M87" s="529"/>
      <c r="N87" s="2747"/>
      <c r="O87" s="2747"/>
      <c r="P87" s="2757"/>
      <c r="Q87" s="2734"/>
      <c r="R87" s="2656"/>
      <c r="S87" s="2656"/>
      <c r="T87" s="2656"/>
      <c r="U87" s="2656"/>
      <c r="V87" s="2656"/>
      <c r="W87" s="2656"/>
      <c r="X87" s="2656"/>
      <c r="Y87" s="2656"/>
      <c r="Z87" s="2656"/>
      <c r="AA87" s="2656"/>
      <c r="AB87" s="2656"/>
      <c r="AC87" s="2656"/>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7"/>
      <c r="B89" s="486" t="str">
        <f>B27</f>
        <v>楼层</v>
      </c>
      <c r="C89" s="502"/>
      <c r="D89" s="502"/>
      <c r="E89" s="502"/>
      <c r="F89" s="1922"/>
      <c r="G89" s="502"/>
      <c r="H89" s="502"/>
      <c r="I89" s="502"/>
      <c r="J89" s="502"/>
      <c r="K89" s="502"/>
      <c r="L89" s="502"/>
      <c r="M89" s="529"/>
      <c r="N89" s="2747"/>
      <c r="O89" s="2747"/>
      <c r="P89" s="2757"/>
      <c r="Q89" s="2734"/>
      <c r="R89" s="2656"/>
      <c r="S89" s="2656"/>
      <c r="T89" s="2656"/>
      <c r="U89" s="2656"/>
      <c r="V89" s="2656"/>
      <c r="W89" s="2656"/>
      <c r="X89" s="2656"/>
      <c r="Y89" s="2656"/>
      <c r="Z89" s="2656"/>
      <c r="AA89" s="2656"/>
      <c r="AB89" s="2656"/>
      <c r="AC89" s="2656"/>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9"/>
      <c r="O90" s="2749"/>
      <c r="P90" s="2757"/>
      <c r="Q90" s="2734"/>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2"/>
      <c r="B93" s="486">
        <f>B29</f>
        <v>111</v>
      </c>
      <c r="C93" s="502"/>
      <c r="D93" s="502"/>
      <c r="E93" s="502"/>
      <c r="F93" s="502"/>
      <c r="G93" s="502"/>
      <c r="H93" s="502"/>
      <c r="I93" s="502"/>
      <c r="J93" s="502"/>
      <c r="K93" s="502"/>
      <c r="L93" s="528"/>
      <c r="M93" s="529"/>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508"/>
      <c r="D94" s="484"/>
      <c r="E94" s="484"/>
      <c r="F94" s="484"/>
      <c r="G94" s="484"/>
      <c r="H94" s="484"/>
      <c r="I94" s="484"/>
      <c r="J94" s="484"/>
      <c r="K94" s="484"/>
      <c r="L94" s="484"/>
      <c r="M94" s="485"/>
      <c r="N94" s="2749"/>
      <c r="O94" s="2749"/>
      <c r="P94" s="2757"/>
      <c r="Q94" s="2734"/>
      <c r="R94" s="2720"/>
      <c r="S94" s="2720"/>
      <c r="T94" s="2720"/>
      <c r="U94" s="2720"/>
      <c r="V94" s="2720"/>
      <c r="W94" s="2720"/>
      <c r="X94" s="2720"/>
      <c r="Y94" s="2720"/>
      <c r="Z94" s="2720"/>
      <c r="AA94" s="2720"/>
      <c r="AB94" s="2720"/>
      <c r="AC94" s="2720"/>
    </row>
    <row r="95" spans="1:29" ht="15.75" thickTop="1">
      <c r="A95" s="482"/>
      <c r="B95" s="486">
        <f>B30</f>
        <v>111</v>
      </c>
      <c r="C95" s="502"/>
      <c r="D95" s="502"/>
      <c r="E95" s="502"/>
      <c r="F95" s="502"/>
      <c r="G95" s="531"/>
      <c r="H95" s="531"/>
      <c r="I95" s="531"/>
      <c r="J95" s="531"/>
      <c r="K95" s="532"/>
      <c r="L95" s="533"/>
      <c r="M95" s="534"/>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508"/>
      <c r="D96" s="508"/>
      <c r="E96" s="508"/>
      <c r="F96" s="508"/>
      <c r="G96" s="484"/>
      <c r="H96" s="484"/>
      <c r="I96" s="484"/>
      <c r="J96" s="484"/>
      <c r="K96" s="484"/>
      <c r="L96" s="484"/>
      <c r="M96" s="485"/>
      <c r="N96" s="2749"/>
      <c r="O96" s="2749"/>
      <c r="P96" s="2757"/>
      <c r="Q96" s="2734"/>
      <c r="R96" s="2720"/>
      <c r="S96" s="2720"/>
      <c r="T96" s="2720"/>
      <c r="U96" s="2720"/>
      <c r="V96" s="2720"/>
      <c r="W96" s="2720"/>
      <c r="X96" s="2720"/>
      <c r="Y96" s="2720"/>
      <c r="Z96" s="2720"/>
      <c r="AA96" s="2720"/>
      <c r="AB96" s="2720"/>
      <c r="AC96" s="2720"/>
    </row>
    <row r="97" spans="1:29" ht="15.75" thickTop="1">
      <c r="A97" s="482"/>
      <c r="B97" s="486">
        <f>B31</f>
        <v>111</v>
      </c>
      <c r="C97" s="502"/>
      <c r="D97" s="502"/>
      <c r="E97" s="502"/>
      <c r="F97" s="502"/>
      <c r="G97" s="531"/>
      <c r="H97" s="531"/>
      <c r="I97" s="531"/>
      <c r="J97" s="531"/>
      <c r="K97" s="532"/>
      <c r="L97" s="533"/>
      <c r="M97" s="534"/>
      <c r="N97" s="2748"/>
      <c r="O97" s="2748"/>
      <c r="P97" s="2757"/>
      <c r="Q97" s="2734"/>
      <c r="R97" s="2720"/>
      <c r="S97" s="2720"/>
      <c r="T97" s="2720"/>
      <c r="U97" s="2720"/>
      <c r="V97" s="2720"/>
      <c r="W97" s="2720"/>
      <c r="X97" s="2720"/>
      <c r="Y97" s="2720"/>
      <c r="Z97" s="2720"/>
      <c r="AA97" s="2720"/>
      <c r="AB97" s="2720"/>
      <c r="AC97" s="2720"/>
    </row>
    <row r="98" spans="1:29" ht="15.75" thickBot="1">
      <c r="A98" s="482"/>
      <c r="B98" s="491"/>
      <c r="C98" s="508"/>
      <c r="D98" s="484"/>
      <c r="E98" s="484"/>
      <c r="F98" s="484"/>
      <c r="G98" s="484"/>
      <c r="H98" s="484"/>
      <c r="I98" s="484"/>
      <c r="J98" s="484"/>
      <c r="K98" s="484"/>
      <c r="L98" s="484"/>
      <c r="M98" s="485"/>
      <c r="N98" s="2749"/>
      <c r="O98" s="2749"/>
      <c r="P98" s="2757"/>
      <c r="Q98" s="2734"/>
      <c r="R98" s="2720"/>
      <c r="S98" s="2720"/>
      <c r="T98" s="2720"/>
      <c r="U98" s="2720"/>
      <c r="V98" s="2720"/>
      <c r="W98" s="2720"/>
      <c r="X98" s="2720"/>
      <c r="Y98" s="2720"/>
      <c r="Z98" s="2720"/>
      <c r="AA98" s="2720"/>
      <c r="AB98" s="2720"/>
      <c r="AC98" s="2720"/>
    </row>
    <row r="99" spans="1:29" ht="15.75" thickTop="1">
      <c r="A99" s="482"/>
      <c r="B99" s="494">
        <f>B32</f>
        <v>111</v>
      </c>
      <c r="C99" s="471"/>
      <c r="D99" s="471"/>
      <c r="E99" s="471"/>
      <c r="F99" s="471"/>
      <c r="G99" s="535"/>
      <c r="H99" s="535"/>
      <c r="I99" s="535"/>
      <c r="J99" s="535"/>
      <c r="K99" s="536"/>
      <c r="L99" s="537"/>
      <c r="M99" s="538"/>
      <c r="N99" s="2748"/>
      <c r="O99" s="2748"/>
      <c r="P99" s="2757"/>
      <c r="Q99" s="2734"/>
      <c r="R99" s="2720"/>
      <c r="S99" s="2720"/>
      <c r="T99" s="2720"/>
      <c r="U99" s="2720"/>
      <c r="V99" s="2720"/>
      <c r="W99" s="2720"/>
      <c r="X99" s="2720"/>
      <c r="Y99" s="2720"/>
      <c r="Z99" s="2720"/>
      <c r="AA99" s="2720"/>
      <c r="AB99" s="2720"/>
      <c r="AC99" s="2720"/>
    </row>
    <row r="100" spans="1:29" ht="15.75" thickBot="1">
      <c r="A100" s="1923"/>
      <c r="B100" s="517"/>
      <c r="C100" s="518"/>
      <c r="D100" s="518"/>
      <c r="E100" s="518"/>
      <c r="F100" s="518"/>
      <c r="G100" s="539"/>
      <c r="H100" s="539"/>
      <c r="I100" s="539"/>
      <c r="J100" s="539"/>
      <c r="K100" s="539"/>
      <c r="L100" s="539"/>
      <c r="M100" s="540"/>
      <c r="N100" s="2749"/>
      <c r="O100" s="2749"/>
      <c r="P100" s="2757"/>
      <c r="Q100" s="2734"/>
      <c r="R100" s="2720"/>
      <c r="S100" s="2720"/>
      <c r="T100" s="2720"/>
      <c r="U100" s="2720"/>
      <c r="V100" s="2720"/>
      <c r="W100" s="2720"/>
      <c r="X100" s="2720"/>
      <c r="Y100" s="2720"/>
      <c r="Z100" s="2720"/>
      <c r="AA100" s="2720"/>
      <c r="AB100" s="2720"/>
      <c r="AC100" s="2720"/>
    </row>
    <row r="101" spans="1:29">
      <c r="A101" s="475" t="s">
        <v>1692</v>
      </c>
      <c r="B101" s="476" t="s">
        <v>1734</v>
      </c>
      <c r="C101" s="478"/>
      <c r="D101" s="478"/>
      <c r="E101" s="478"/>
      <c r="F101" s="478"/>
      <c r="G101" s="478"/>
      <c r="H101" s="478"/>
      <c r="I101" s="478"/>
      <c r="J101" s="478"/>
      <c r="K101" s="479"/>
      <c r="L101" s="480"/>
      <c r="M101" s="481"/>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2"/>
      <c r="B103" s="486" t="s">
        <v>1735</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1" customFormat="1">
      <c r="A104" s="541"/>
      <c r="B104" s="542"/>
      <c r="C104" s="543"/>
      <c r="D104" s="543"/>
      <c r="E104" s="543"/>
      <c r="F104" s="543"/>
      <c r="G104" s="543"/>
      <c r="H104" s="543"/>
      <c r="I104" s="543"/>
      <c r="J104" s="544"/>
      <c r="K104" s="544"/>
      <c r="L104" s="545"/>
      <c r="M104" s="546"/>
      <c r="N104" s="2750"/>
      <c r="O104" s="2750"/>
      <c r="P104" s="2758"/>
      <c r="Q104" s="2741"/>
      <c r="R104" s="2742"/>
      <c r="S104" s="2742"/>
      <c r="T104" s="2742"/>
      <c r="U104" s="2742"/>
      <c r="V104" s="2742"/>
      <c r="W104" s="2742"/>
      <c r="X104" s="2742"/>
      <c r="Y104" s="2742"/>
      <c r="Z104" s="2742"/>
      <c r="AA104" s="2742"/>
      <c r="AB104" s="2742"/>
      <c r="AC104" s="2742"/>
    </row>
    <row r="105" spans="1:29" s="421" customFormat="1" ht="15.75" thickBot="1">
      <c r="A105" s="501"/>
      <c r="B105" s="491"/>
      <c r="C105" s="508"/>
      <c r="D105" s="484"/>
      <c r="E105" s="484"/>
      <c r="F105" s="484"/>
      <c r="G105" s="484"/>
      <c r="H105" s="484"/>
      <c r="I105" s="484"/>
      <c r="J105" s="484"/>
      <c r="K105" s="484"/>
      <c r="L105" s="484"/>
      <c r="M105" s="485"/>
      <c r="N105" s="2749"/>
      <c r="O105" s="2749"/>
      <c r="P105" s="2758"/>
      <c r="Q105" s="2741"/>
      <c r="R105" s="2742"/>
      <c r="S105" s="2742"/>
      <c r="T105" s="2742"/>
      <c r="U105" s="2742"/>
      <c r="V105" s="2742"/>
      <c r="W105" s="2742"/>
      <c r="X105" s="2742"/>
      <c r="Y105" s="2742"/>
      <c r="Z105" s="2742"/>
      <c r="AA105" s="2742"/>
      <c r="AB105" s="2742"/>
      <c r="AC105" s="2742"/>
    </row>
    <row r="106" spans="1:29" ht="15" thickTop="1">
      <c r="A106" s="547"/>
      <c r="B106" s="486" t="s">
        <v>1736</v>
      </c>
      <c r="C106" s="502"/>
      <c r="D106" s="502"/>
      <c r="E106" s="531"/>
      <c r="F106" s="531"/>
      <c r="G106" s="531"/>
      <c r="H106" s="531"/>
      <c r="I106" s="531"/>
      <c r="J106" s="531"/>
      <c r="K106" s="532"/>
      <c r="L106" s="533"/>
      <c r="M106" s="534"/>
      <c r="N106" s="2748"/>
      <c r="O106" s="2748"/>
      <c r="P106" s="2757"/>
      <c r="Q106" s="2734"/>
      <c r="R106" s="2720"/>
      <c r="S106" s="2720"/>
      <c r="T106" s="2720"/>
      <c r="U106" s="2720"/>
      <c r="V106" s="2720"/>
      <c r="W106" s="2720"/>
      <c r="X106" s="2720"/>
      <c r="Y106" s="2720"/>
      <c r="Z106" s="2720"/>
      <c r="AA106" s="2720"/>
      <c r="AB106" s="2720"/>
      <c r="AC106" s="272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7"/>
      <c r="B108" s="486" t="s">
        <v>1738</v>
      </c>
      <c r="C108" s="502"/>
      <c r="D108" s="502"/>
      <c r="E108" s="502"/>
      <c r="F108" s="531"/>
      <c r="G108" s="531"/>
      <c r="H108" s="531"/>
      <c r="I108" s="531"/>
      <c r="J108" s="531"/>
      <c r="K108" s="532"/>
      <c r="L108" s="533"/>
      <c r="M108" s="534"/>
      <c r="N108" s="2748"/>
      <c r="O108" s="2748"/>
      <c r="P108" s="2757"/>
      <c r="Q108" s="2734"/>
      <c r="R108" s="2720"/>
      <c r="S108" s="2720"/>
      <c r="T108" s="2720"/>
      <c r="U108" s="2720"/>
      <c r="V108" s="2720"/>
      <c r="W108" s="2720"/>
      <c r="X108" s="2720"/>
      <c r="Y108" s="2720"/>
      <c r="Z108" s="2720"/>
      <c r="AA108" s="2720"/>
      <c r="AB108" s="2720"/>
      <c r="AC108" s="272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8"/>
      <c r="O110" s="2748"/>
      <c r="P110" s="2757"/>
      <c r="Q110" s="2734"/>
      <c r="R110" s="2720"/>
      <c r="S110" s="2720"/>
      <c r="T110" s="2720"/>
      <c r="U110" s="2720"/>
      <c r="V110" s="2720"/>
      <c r="W110" s="2720"/>
      <c r="X110" s="2720"/>
      <c r="Y110" s="2720"/>
      <c r="Z110" s="2720"/>
      <c r="AA110" s="2720"/>
      <c r="AB110" s="2720"/>
      <c r="AC110" s="2720"/>
    </row>
    <row r="111" spans="1:29">
      <c r="A111" s="547"/>
      <c r="B111" s="494"/>
      <c r="C111" s="551">
        <v>0.5</v>
      </c>
      <c r="D111" s="551">
        <v>0.6</v>
      </c>
      <c r="E111" s="551">
        <v>0.7</v>
      </c>
      <c r="F111" s="551">
        <v>0.8</v>
      </c>
      <c r="G111" s="551">
        <v>0.9</v>
      </c>
      <c r="H111" s="551">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9"/>
      <c r="O112" s="2749"/>
      <c r="P112" s="2757"/>
      <c r="Q112" s="2734"/>
      <c r="R112" s="2720"/>
      <c r="S112" s="2720"/>
      <c r="T112" s="2720"/>
      <c r="U112" s="2720"/>
      <c r="V112" s="2720"/>
      <c r="W112" s="2720"/>
      <c r="X112" s="2720"/>
      <c r="Y112" s="2720"/>
      <c r="Z112" s="2720"/>
      <c r="AA112" s="2720"/>
      <c r="AB112" s="2720"/>
      <c r="AC112" s="2720"/>
    </row>
    <row r="113" spans="1:29" s="421" customFormat="1" ht="15" thickTop="1">
      <c r="A113" s="541"/>
      <c r="B113" s="486" t="s">
        <v>1822</v>
      </c>
      <c r="C113" s="502"/>
      <c r="D113" s="502"/>
      <c r="E113" s="502"/>
      <c r="F113" s="502"/>
      <c r="G113" s="502"/>
      <c r="H113" s="531"/>
      <c r="I113" s="531"/>
      <c r="J113" s="531"/>
      <c r="K113" s="532"/>
      <c r="L113" s="533"/>
      <c r="M113" s="534"/>
      <c r="N113" s="2750"/>
      <c r="O113" s="2750"/>
      <c r="P113" s="2758"/>
      <c r="Q113" s="2741"/>
      <c r="R113" s="2742"/>
      <c r="S113" s="2742"/>
      <c r="T113" s="2742"/>
      <c r="U113" s="2742"/>
      <c r="V113" s="2742"/>
      <c r="W113" s="2742"/>
      <c r="X113" s="2742"/>
      <c r="Y113" s="2742"/>
      <c r="Z113" s="2742"/>
      <c r="AA113" s="2742"/>
      <c r="AB113" s="2742"/>
      <c r="AC113" s="2742"/>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7"/>
      <c r="B115" s="486" t="s">
        <v>1739</v>
      </c>
      <c r="C115" s="502"/>
      <c r="D115" s="502"/>
      <c r="E115" s="531"/>
      <c r="F115" s="531"/>
      <c r="G115" s="531"/>
      <c r="H115" s="531"/>
      <c r="I115" s="531"/>
      <c r="J115" s="531"/>
      <c r="K115" s="532"/>
      <c r="L115" s="533"/>
      <c r="M115" s="534"/>
      <c r="N115" s="2748"/>
      <c r="O115" s="2748"/>
      <c r="P115" s="2757"/>
      <c r="Q115" s="2734"/>
      <c r="R115" s="2720"/>
      <c r="S115" s="2720"/>
      <c r="T115" s="2720"/>
      <c r="U115" s="2720"/>
      <c r="V115" s="2720"/>
      <c r="W115" s="2720"/>
      <c r="X115" s="2720"/>
      <c r="Y115" s="2720"/>
      <c r="Z115" s="2720"/>
      <c r="AA115" s="2720"/>
      <c r="AB115" s="2720"/>
      <c r="AC115" s="272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7"/>
      <c r="B117" s="486" t="s">
        <v>1740</v>
      </c>
      <c r="C117" s="502"/>
      <c r="D117" s="502"/>
      <c r="E117" s="502"/>
      <c r="F117" s="502"/>
      <c r="G117" s="502"/>
      <c r="H117" s="531"/>
      <c r="I117" s="531"/>
      <c r="J117" s="531"/>
      <c r="K117" s="532"/>
      <c r="L117" s="533"/>
      <c r="M117" s="534"/>
      <c r="N117" s="2748"/>
      <c r="O117" s="2748"/>
      <c r="P117" s="2757"/>
      <c r="Q117" s="2734"/>
      <c r="R117" s="2720"/>
      <c r="S117" s="2720"/>
      <c r="T117" s="2720"/>
      <c r="U117" s="2720"/>
      <c r="V117" s="2720"/>
      <c r="W117" s="2720"/>
      <c r="X117" s="2720"/>
      <c r="Y117" s="2720"/>
      <c r="Z117" s="2720"/>
      <c r="AA117" s="2720"/>
      <c r="AB117" s="2720"/>
      <c r="AC117" s="272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9"/>
      <c r="O118" s="2749"/>
      <c r="P118" s="2757"/>
      <c r="Q118" s="2734"/>
      <c r="R118" s="2720"/>
      <c r="S118" s="2720"/>
      <c r="T118" s="2720"/>
      <c r="U118" s="2720"/>
      <c r="V118" s="2720"/>
      <c r="W118" s="2720"/>
      <c r="X118" s="2720"/>
      <c r="Y118" s="2720"/>
      <c r="Z118" s="2720"/>
      <c r="AA118" s="2720"/>
      <c r="AB118" s="2720"/>
      <c r="AC118" s="2720"/>
    </row>
    <row r="119" spans="1:29" ht="15" thickTop="1">
      <c r="A119" s="547"/>
      <c r="B119" s="583" t="s">
        <v>1823</v>
      </c>
      <c r="C119" s="531"/>
      <c r="D119" s="531"/>
      <c r="E119" s="531"/>
      <c r="F119" s="531"/>
      <c r="G119" s="531"/>
      <c r="H119" s="531"/>
      <c r="I119" s="531"/>
      <c r="J119" s="531"/>
      <c r="K119" s="531"/>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9"/>
      <c r="O120" s="2749"/>
      <c r="P120" s="2757"/>
      <c r="Q120" s="2734"/>
      <c r="R120" s="2720"/>
      <c r="S120" s="2720"/>
      <c r="T120" s="2720"/>
      <c r="U120" s="2720"/>
      <c r="V120" s="2720"/>
      <c r="W120" s="2720"/>
      <c r="X120" s="2720"/>
      <c r="Y120" s="2720"/>
      <c r="Z120" s="2720"/>
      <c r="AA120" s="2720"/>
      <c r="AB120" s="2720"/>
      <c r="AC120" s="2720"/>
    </row>
    <row r="121" spans="1:29" s="421" customFormat="1" ht="15" thickTop="1">
      <c r="A121" s="541"/>
      <c r="B121" s="486" t="s">
        <v>1806</v>
      </c>
      <c r="C121" s="502"/>
      <c r="D121" s="502"/>
      <c r="E121" s="502"/>
      <c r="F121" s="531"/>
      <c r="G121" s="503"/>
      <c r="H121" s="503"/>
      <c r="I121" s="503"/>
      <c r="J121" s="503"/>
      <c r="K121" s="503"/>
      <c r="L121" s="504"/>
      <c r="M121" s="505"/>
      <c r="N121" s="2750"/>
      <c r="O121" s="2750"/>
      <c r="P121" s="2758"/>
      <c r="Q121" s="2741"/>
      <c r="R121" s="2742"/>
      <c r="S121" s="2742"/>
      <c r="T121" s="2742"/>
      <c r="U121" s="2742"/>
      <c r="V121" s="2742"/>
      <c r="W121" s="2742"/>
      <c r="X121" s="2742"/>
      <c r="Y121" s="2742"/>
      <c r="Z121" s="2742"/>
      <c r="AA121" s="2742"/>
      <c r="AB121" s="2742"/>
      <c r="AC121" s="2742"/>
    </row>
    <row r="122" spans="1:29" s="421" customFormat="1" ht="15.75" thickBot="1">
      <c r="A122" s="501"/>
      <c r="B122" s="483"/>
      <c r="C122" s="508"/>
      <c r="D122" s="508"/>
      <c r="E122" s="508"/>
      <c r="F122" s="508"/>
      <c r="G122" s="508"/>
      <c r="H122" s="508"/>
      <c r="I122" s="508"/>
      <c r="J122" s="508"/>
      <c r="K122" s="508"/>
      <c r="L122" s="508"/>
      <c r="M122" s="508"/>
      <c r="N122" s="2750"/>
      <c r="O122" s="2750"/>
      <c r="P122" s="2758"/>
      <c r="Q122" s="2741"/>
      <c r="R122" s="2742"/>
      <c r="S122" s="2742"/>
      <c r="T122" s="2742"/>
      <c r="U122" s="2742"/>
      <c r="V122" s="2742"/>
      <c r="W122" s="2742"/>
      <c r="X122" s="2742"/>
      <c r="Y122" s="2742"/>
      <c r="Z122" s="2742"/>
      <c r="AA122" s="2742"/>
      <c r="AB122" s="2742"/>
      <c r="AC122" s="2742"/>
    </row>
    <row r="123" spans="1:29" ht="15" thickTop="1">
      <c r="A123" s="547"/>
      <c r="B123" s="486" t="s">
        <v>1742</v>
      </c>
      <c r="C123" s="502"/>
      <c r="D123" s="502"/>
      <c r="E123" s="502"/>
      <c r="F123" s="531"/>
      <c r="G123" s="531"/>
      <c r="H123" s="531"/>
      <c r="I123" s="531"/>
      <c r="J123" s="531"/>
      <c r="K123" s="532"/>
      <c r="L123" s="533"/>
      <c r="M123" s="534"/>
      <c r="N123" s="2748"/>
      <c r="O123" s="2748"/>
      <c r="P123" s="2757"/>
      <c r="Q123" s="2734"/>
      <c r="R123" s="2720"/>
      <c r="S123" s="2720"/>
      <c r="T123" s="2720"/>
      <c r="U123" s="2720"/>
      <c r="V123" s="2720"/>
      <c r="W123" s="2720"/>
      <c r="X123" s="2720"/>
      <c r="Y123" s="2720"/>
      <c r="Z123" s="2720"/>
      <c r="AA123" s="2720"/>
      <c r="AB123" s="2720"/>
      <c r="AC123" s="272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7"/>
      <c r="B125" s="486" t="s">
        <v>1743</v>
      </c>
      <c r="C125" s="526" t="s">
        <v>1719</v>
      </c>
      <c r="D125" s="526" t="s">
        <v>1720</v>
      </c>
      <c r="E125" s="526" t="s">
        <v>1721</v>
      </c>
      <c r="F125" s="526" t="s">
        <v>1722</v>
      </c>
      <c r="G125" s="526" t="s">
        <v>1723</v>
      </c>
      <c r="H125" s="487"/>
      <c r="I125" s="487"/>
      <c r="J125" s="487"/>
      <c r="K125" s="488"/>
      <c r="L125" s="489"/>
      <c r="M125" s="490"/>
      <c r="N125" s="2748"/>
      <c r="O125" s="2748"/>
      <c r="P125" s="2758"/>
      <c r="Q125" s="2734"/>
      <c r="R125" s="2720"/>
      <c r="S125" s="2720"/>
      <c r="T125" s="2720"/>
      <c r="U125" s="2720"/>
      <c r="V125" s="2720"/>
      <c r="W125" s="2720"/>
      <c r="X125" s="2720"/>
      <c r="Y125" s="2720"/>
      <c r="Z125" s="2720"/>
      <c r="AA125" s="2720"/>
      <c r="AB125" s="2720"/>
      <c r="AC125" s="272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9"/>
      <c r="O126" s="2749"/>
      <c r="P126" s="2757"/>
      <c r="Q126" s="2734"/>
      <c r="R126" s="2720"/>
      <c r="S126" s="2720"/>
      <c r="T126" s="2720"/>
      <c r="U126" s="2720"/>
      <c r="V126" s="2720"/>
      <c r="W126" s="2720"/>
      <c r="X126" s="2720"/>
      <c r="Y126" s="2720"/>
      <c r="Z126" s="2720"/>
      <c r="AA126" s="2720"/>
      <c r="AB126" s="2720"/>
      <c r="AC126" s="2720"/>
    </row>
    <row r="127" spans="1:29" s="421" customFormat="1" ht="15" thickTop="1">
      <c r="A127" s="541"/>
      <c r="B127" s="486">
        <f>B45</f>
        <v>111</v>
      </c>
      <c r="C127" s="502"/>
      <c r="D127" s="502"/>
      <c r="E127" s="502"/>
      <c r="F127" s="502"/>
      <c r="G127" s="502"/>
      <c r="H127" s="503"/>
      <c r="I127" s="503"/>
      <c r="J127" s="503"/>
      <c r="K127" s="503"/>
      <c r="L127" s="504"/>
      <c r="M127" s="505"/>
      <c r="N127" s="2750"/>
      <c r="O127" s="2750"/>
      <c r="P127" s="2758"/>
      <c r="Q127" s="2741"/>
      <c r="R127" s="2742"/>
      <c r="S127" s="2742"/>
      <c r="T127" s="2742"/>
      <c r="U127" s="2742"/>
      <c r="V127" s="2742"/>
      <c r="W127" s="2742"/>
      <c r="X127" s="2742"/>
      <c r="Y127" s="2742"/>
      <c r="Z127" s="2742"/>
      <c r="AA127" s="2742"/>
      <c r="AB127" s="2742"/>
      <c r="AC127" s="2742"/>
    </row>
    <row r="128" spans="1:29" s="421" customFormat="1" ht="15.75" thickBot="1">
      <c r="A128" s="501"/>
      <c r="B128" s="491"/>
      <c r="C128" s="508"/>
      <c r="D128" s="484"/>
      <c r="E128" s="484"/>
      <c r="F128" s="484"/>
      <c r="G128" s="508"/>
      <c r="H128" s="510"/>
      <c r="I128" s="510"/>
      <c r="J128" s="510"/>
      <c r="K128" s="510"/>
      <c r="L128" s="510"/>
      <c r="M128" s="511"/>
      <c r="N128" s="2750"/>
      <c r="O128" s="2750"/>
      <c r="P128" s="2758"/>
      <c r="Q128" s="2741"/>
      <c r="R128" s="2742"/>
      <c r="S128" s="2742"/>
      <c r="T128" s="2742"/>
      <c r="U128" s="2742"/>
      <c r="V128" s="2742"/>
      <c r="W128" s="2742"/>
      <c r="X128" s="2742"/>
      <c r="Y128" s="2742"/>
      <c r="Z128" s="2742"/>
      <c r="AA128" s="2742"/>
      <c r="AB128" s="2742"/>
      <c r="AC128" s="2742"/>
    </row>
    <row r="129" spans="1:29" ht="15" thickTop="1">
      <c r="A129" s="547"/>
      <c r="B129" s="486">
        <f>B46</f>
        <v>111</v>
      </c>
      <c r="C129" s="502"/>
      <c r="D129" s="502"/>
      <c r="E129" s="502"/>
      <c r="F129" s="502"/>
      <c r="G129" s="531"/>
      <c r="H129" s="531"/>
      <c r="I129" s="531"/>
      <c r="J129" s="531"/>
      <c r="K129" s="532"/>
      <c r="L129" s="533"/>
      <c r="M129" s="534"/>
      <c r="N129" s="2748"/>
      <c r="O129" s="2748"/>
      <c r="P129" s="2757"/>
      <c r="Q129" s="2734"/>
      <c r="R129" s="2720"/>
      <c r="S129" s="2720"/>
      <c r="T129" s="2720"/>
      <c r="U129" s="2720"/>
      <c r="V129" s="2720"/>
      <c r="W129" s="2720"/>
      <c r="X129" s="2720"/>
      <c r="Y129" s="2720"/>
      <c r="Z129" s="2720"/>
      <c r="AA129" s="2720"/>
      <c r="AB129" s="2720"/>
      <c r="AC129" s="2720"/>
    </row>
    <row r="130" spans="1:29" ht="15.75" thickBot="1">
      <c r="A130" s="482"/>
      <c r="B130" s="491"/>
      <c r="C130" s="508"/>
      <c r="D130" s="508"/>
      <c r="E130" s="508"/>
      <c r="F130" s="508"/>
      <c r="G130" s="484"/>
      <c r="H130" s="484"/>
      <c r="I130" s="484"/>
      <c r="J130" s="484"/>
      <c r="K130" s="484"/>
      <c r="L130" s="484"/>
      <c r="M130" s="485"/>
      <c r="N130" s="2749"/>
      <c r="O130" s="2749"/>
      <c r="P130" s="2757"/>
      <c r="Q130" s="2734"/>
      <c r="R130" s="2720"/>
      <c r="S130" s="2720"/>
      <c r="T130" s="2720"/>
      <c r="U130" s="2720"/>
      <c r="V130" s="2720"/>
      <c r="W130" s="2720"/>
      <c r="X130" s="2720"/>
      <c r="Y130" s="2720"/>
      <c r="Z130" s="2720"/>
      <c r="AA130" s="2720"/>
      <c r="AB130" s="2720"/>
      <c r="AC130" s="2720"/>
    </row>
    <row r="131" spans="1:29" ht="15" thickTop="1">
      <c r="A131" s="547"/>
      <c r="B131" s="494">
        <f>B47</f>
        <v>111</v>
      </c>
      <c r="C131" s="471"/>
      <c r="D131" s="471"/>
      <c r="E131" s="471"/>
      <c r="F131" s="471"/>
      <c r="G131" s="535"/>
      <c r="H131" s="535"/>
      <c r="I131" s="535"/>
      <c r="J131" s="535"/>
      <c r="K131" s="471"/>
      <c r="L131" s="472"/>
      <c r="M131" s="538"/>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7"/>
      <c r="C132" s="518"/>
      <c r="D132" s="518"/>
      <c r="E132" s="518"/>
      <c r="F132" s="518"/>
      <c r="G132" s="539"/>
      <c r="H132" s="539"/>
      <c r="I132" s="539"/>
      <c r="J132" s="539"/>
      <c r="K132" s="539"/>
      <c r="L132" s="539"/>
      <c r="M132" s="540"/>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1658</v>
      </c>
      <c r="B1" s="1952" t="s">
        <v>1824</v>
      </c>
      <c r="C1" s="1219" t="s">
        <v>1660</v>
      </c>
      <c r="D1" s="1220"/>
      <c r="E1" s="3428"/>
      <c r="F1" s="1874"/>
      <c r="G1" s="1230" t="s">
        <v>1765</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1460</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1461</v>
      </c>
      <c r="F2" s="1878"/>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1462</v>
      </c>
      <c r="B3" s="557">
        <f>IF(C2="——",C43,ROUND(B2*10000/D3,0))</f>
        <v>0</v>
      </c>
      <c r="C3" s="353" t="s">
        <v>1766</v>
      </c>
      <c r="D3" s="352">
        <f>IF(D1="",'数据-汇总表'!E3,SUMIF('数据-汇总表'!$C19:$C33,D1,'数据-汇总表'!$E19:$E33))</f>
        <v>39707.960000000006</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1767</v>
      </c>
      <c r="B4" s="355"/>
      <c r="C4" s="3720" t="s">
        <v>1768</v>
      </c>
      <c r="D4" s="3721"/>
      <c r="E4" s="3722" t="s">
        <v>1769</v>
      </c>
      <c r="F4" s="3723"/>
      <c r="G4" s="3720" t="s">
        <v>1770</v>
      </c>
      <c r="H4" s="3721"/>
      <c r="I4" s="3720" t="s">
        <v>1771</v>
      </c>
      <c r="J4" s="3721"/>
      <c r="K4" s="558" t="s">
        <v>1772</v>
      </c>
      <c r="L4" s="909"/>
      <c r="M4" s="910"/>
      <c r="N4" s="910"/>
      <c r="O4" s="910"/>
      <c r="P4" s="3724" t="s">
        <v>1773</v>
      </c>
      <c r="Q4" s="3725"/>
      <c r="R4" s="3730" t="s">
        <v>1769</v>
      </c>
      <c r="S4" s="3731"/>
      <c r="T4" s="3730" t="s">
        <v>1770</v>
      </c>
      <c r="U4" s="3731"/>
      <c r="V4" s="3736" t="s">
        <v>1771</v>
      </c>
      <c r="W4" s="3736"/>
      <c r="X4" s="1350"/>
      <c r="Y4" s="3730" t="s">
        <v>1773</v>
      </c>
      <c r="Z4" s="3731"/>
      <c r="AA4" s="3717" t="s">
        <v>1769</v>
      </c>
      <c r="AB4" s="3718" t="s">
        <v>1770</v>
      </c>
      <c r="AC4" s="3717" t="s">
        <v>1771</v>
      </c>
    </row>
    <row r="5" spans="1:29" ht="15">
      <c r="A5" s="357"/>
      <c r="B5" s="358"/>
      <c r="C5" s="3739" t="s">
        <v>1671</v>
      </c>
      <c r="D5" s="3740"/>
      <c r="E5" s="3746" t="s">
        <v>1672</v>
      </c>
      <c r="F5" s="3747"/>
      <c r="G5" s="3739" t="s">
        <v>1673</v>
      </c>
      <c r="H5" s="3740"/>
      <c r="I5" s="3739" t="s">
        <v>1674</v>
      </c>
      <c r="J5" s="3740"/>
      <c r="K5" s="558"/>
      <c r="L5" s="909"/>
      <c r="M5" s="910"/>
      <c r="N5" s="910"/>
      <c r="O5" s="910"/>
      <c r="P5" s="3726"/>
      <c r="Q5" s="3727"/>
      <c r="R5" s="3732"/>
      <c r="S5" s="3733"/>
      <c r="T5" s="3732"/>
      <c r="U5" s="3733"/>
      <c r="V5" s="3736"/>
      <c r="W5" s="3736"/>
      <c r="X5" s="1350"/>
      <c r="Y5" s="3732"/>
      <c r="Z5" s="3733"/>
      <c r="AA5" s="3718"/>
      <c r="AB5" s="3718"/>
      <c r="AC5" s="3718"/>
    </row>
    <row r="6" spans="1:29" ht="15.75" thickBot="1">
      <c r="A6" s="359"/>
      <c r="B6" s="360"/>
      <c r="C6" s="3737" t="s">
        <v>1675</v>
      </c>
      <c r="D6" s="3738"/>
      <c r="E6" s="3744" t="s">
        <v>1675</v>
      </c>
      <c r="F6" s="3745"/>
      <c r="G6" s="3737" t="s">
        <v>1675</v>
      </c>
      <c r="H6" s="3738"/>
      <c r="I6" s="3737" t="s">
        <v>1675</v>
      </c>
      <c r="J6" s="3738"/>
      <c r="K6" s="558" t="s">
        <v>1676</v>
      </c>
      <c r="L6" s="909"/>
      <c r="M6" s="910"/>
      <c r="N6" s="910"/>
      <c r="O6" s="910"/>
      <c r="P6" s="3728"/>
      <c r="Q6" s="3729"/>
      <c r="R6" s="3732"/>
      <c r="S6" s="3733"/>
      <c r="T6" s="3734"/>
      <c r="U6" s="3735"/>
      <c r="V6" s="3736"/>
      <c r="W6" s="3736"/>
      <c r="X6" s="1350"/>
      <c r="Y6" s="3734"/>
      <c r="Z6" s="3735"/>
      <c r="AA6" s="3719"/>
      <c r="AB6" s="3719"/>
      <c r="AC6" s="3719"/>
    </row>
    <row r="7" spans="1:29" s="108" customFormat="1" ht="15.75" thickBot="1">
      <c r="A7" s="361" t="s">
        <v>1677</v>
      </c>
      <c r="B7" s="362"/>
      <c r="C7" s="363">
        <f>'数据-取费表'!B2</f>
        <v>45322</v>
      </c>
      <c r="D7" s="364">
        <v>100</v>
      </c>
      <c r="E7" s="365"/>
      <c r="F7" s="366">
        <f>SUMIF(52:52,YEAR(E7)&amp;"-"&amp;MONTH(E7),53:53)</f>
        <v>0</v>
      </c>
      <c r="G7" s="365"/>
      <c r="H7" s="364">
        <f>SUMIF(52:52,YEAR(G7)&amp;"-"&amp;MONTH(G7),53:53)</f>
        <v>0</v>
      </c>
      <c r="I7" s="365"/>
      <c r="J7" s="364">
        <f>SUMIF(52:52,YEAR(I7)&amp;"-"&amp;MONTH(I7),53:53)</f>
        <v>0</v>
      </c>
      <c r="K7" s="559"/>
      <c r="L7" s="911"/>
      <c r="M7" s="912"/>
      <c r="N7" s="912"/>
      <c r="O7" s="912"/>
      <c r="P7" s="3741" t="s">
        <v>1678</v>
      </c>
      <c r="Q7" s="3743"/>
      <c r="R7" s="699" t="s">
        <v>14</v>
      </c>
      <c r="S7" s="700">
        <f t="shared" ref="S7:S15" si="0">F7</f>
        <v>0</v>
      </c>
      <c r="T7" s="699" t="s">
        <v>14</v>
      </c>
      <c r="U7" s="700">
        <f t="shared" ref="U7:U15" si="1">H7</f>
        <v>0</v>
      </c>
      <c r="V7" s="699" t="s">
        <v>14</v>
      </c>
      <c r="W7" s="700">
        <f t="shared" ref="W7:W15" si="2">J7</f>
        <v>0</v>
      </c>
      <c r="X7" s="701"/>
      <c r="Y7" s="3741" t="s">
        <v>1678</v>
      </c>
      <c r="Z7" s="3742"/>
      <c r="AA7" s="702" t="e">
        <f>D7/F7</f>
        <v>#DIV/0!</v>
      </c>
      <c r="AB7" s="702" t="e">
        <f>D7/H7</f>
        <v>#DIV/0!</v>
      </c>
      <c r="AC7" s="702" t="e">
        <f>D7/J7</f>
        <v>#DIV/0!</v>
      </c>
    </row>
    <row r="8" spans="1:29" s="108" customFormat="1" ht="15.75" thickBot="1">
      <c r="A8" s="361" t="s">
        <v>1679</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741" t="s">
        <v>1681</v>
      </c>
      <c r="Q8" s="3742"/>
      <c r="R8" s="699" t="s">
        <v>14</v>
      </c>
      <c r="S8" s="700">
        <f t="shared" si="0"/>
        <v>100</v>
      </c>
      <c r="T8" s="699" t="s">
        <v>14</v>
      </c>
      <c r="U8" s="700">
        <f t="shared" si="1"/>
        <v>100</v>
      </c>
      <c r="V8" s="699" t="s">
        <v>14</v>
      </c>
      <c r="W8" s="700">
        <f t="shared" si="2"/>
        <v>100</v>
      </c>
      <c r="X8" s="701"/>
      <c r="Y8" s="3741" t="s">
        <v>1681</v>
      </c>
      <c r="Z8" s="3742"/>
      <c r="AA8" s="702">
        <f t="shared" ref="AA8:AA40" si="3">D8/F8</f>
        <v>1</v>
      </c>
      <c r="AB8" s="702">
        <f t="shared" ref="AB8:AB40" si="4">D8/H8</f>
        <v>1</v>
      </c>
      <c r="AC8" s="702">
        <f t="shared" ref="AC8:AC40" si="5">D8/J8</f>
        <v>1</v>
      </c>
    </row>
    <row r="9" spans="1:29" s="108" customFormat="1">
      <c r="A9" s="368" t="s">
        <v>1682</v>
      </c>
      <c r="B9" s="63" t="s">
        <v>1683</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705" t="s">
        <v>1684</v>
      </c>
      <c r="Q9" s="1338" t="str">
        <f t="shared" ref="Q9:Q15" si="6">B9</f>
        <v>用途</v>
      </c>
      <c r="R9" s="699" t="s">
        <v>14</v>
      </c>
      <c r="S9" s="700">
        <f t="shared" si="0"/>
        <v>100</v>
      </c>
      <c r="T9" s="699" t="s">
        <v>14</v>
      </c>
      <c r="U9" s="700">
        <f t="shared" si="1"/>
        <v>100</v>
      </c>
      <c r="V9" s="699" t="s">
        <v>14</v>
      </c>
      <c r="W9" s="700">
        <f t="shared" si="2"/>
        <v>100</v>
      </c>
      <c r="X9" s="701"/>
      <c r="Y9" s="3579" t="s">
        <v>1685</v>
      </c>
      <c r="Z9" s="52" t="str">
        <f t="shared" ref="Z9:Z15" si="7">Q9</f>
        <v>用途</v>
      </c>
      <c r="AA9" s="702">
        <f t="shared" si="3"/>
        <v>1</v>
      </c>
      <c r="AB9" s="702">
        <f t="shared" si="4"/>
        <v>1</v>
      </c>
      <c r="AC9" s="702">
        <f t="shared" si="5"/>
        <v>1</v>
      </c>
    </row>
    <row r="10" spans="1:29" s="377" customFormat="1" ht="27">
      <c r="A10" s="373"/>
      <c r="B10" s="374" t="s">
        <v>1686</v>
      </c>
      <c r="C10" s="3429"/>
      <c r="D10" s="126">
        <v>100</v>
      </c>
      <c r="E10" s="3429"/>
      <c r="F10" s="126">
        <f>SUMIF(59:59,E10,60:60)-SUMIF(59:59,C10,60:60)+100</f>
        <v>100</v>
      </c>
      <c r="G10" s="3430"/>
      <c r="H10" s="126">
        <f>SUMIF(59:59,G10,60:60)-SUMIF(59:59,C10,60:60)+100</f>
        <v>100</v>
      </c>
      <c r="I10" s="3429"/>
      <c r="J10" s="126">
        <f>SUMIF(59:59,I10,60:60)-SUMIF(59:59,C10,60:60)+100</f>
        <v>100</v>
      </c>
      <c r="K10" s="559"/>
      <c r="L10" s="914"/>
      <c r="M10" s="915"/>
      <c r="N10" s="915"/>
      <c r="O10" s="916"/>
      <c r="P10" s="3705"/>
      <c r="Q10" s="1338" t="str">
        <f t="shared" si="6"/>
        <v>土地使用年限（年）</v>
      </c>
      <c r="R10" s="699" t="s">
        <v>14</v>
      </c>
      <c r="S10" s="700">
        <f t="shared" si="0"/>
        <v>100</v>
      </c>
      <c r="T10" s="699" t="s">
        <v>14</v>
      </c>
      <c r="U10" s="700">
        <f t="shared" si="1"/>
        <v>100</v>
      </c>
      <c r="V10" s="699" t="s">
        <v>14</v>
      </c>
      <c r="W10" s="700">
        <f t="shared" si="2"/>
        <v>100</v>
      </c>
      <c r="X10" s="701"/>
      <c r="Y10" s="3579"/>
      <c r="Z10" s="52" t="str">
        <f t="shared" si="7"/>
        <v>土地使用年限（年）</v>
      </c>
      <c r="AA10" s="702">
        <f t="shared" si="3"/>
        <v>1</v>
      </c>
      <c r="AB10" s="702">
        <f t="shared" si="4"/>
        <v>1</v>
      </c>
      <c r="AC10" s="702">
        <f t="shared" si="5"/>
        <v>1</v>
      </c>
    </row>
    <row r="11" spans="1:29" ht="15">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705"/>
      <c r="Q11" s="1338" t="str">
        <f t="shared" si="6"/>
        <v>容积率</v>
      </c>
      <c r="R11" s="699" t="s">
        <v>14</v>
      </c>
      <c r="S11" s="700">
        <f t="shared" si="0"/>
        <v>100</v>
      </c>
      <c r="T11" s="699" t="s">
        <v>14</v>
      </c>
      <c r="U11" s="700">
        <f t="shared" si="1"/>
        <v>100</v>
      </c>
      <c r="V11" s="699" t="s">
        <v>14</v>
      </c>
      <c r="W11" s="700">
        <f t="shared" si="2"/>
        <v>100</v>
      </c>
      <c r="X11" s="701"/>
      <c r="Y11" s="3579"/>
      <c r="Z11" s="52" t="str">
        <f t="shared" si="7"/>
        <v>容积率</v>
      </c>
      <c r="AA11" s="702">
        <f t="shared" si="3"/>
        <v>1</v>
      </c>
      <c r="AB11" s="702">
        <f t="shared" si="4"/>
        <v>1</v>
      </c>
      <c r="AC11" s="702">
        <f t="shared" si="5"/>
        <v>1</v>
      </c>
    </row>
    <row r="12" spans="1:29" s="108" customFormat="1" ht="15">
      <c r="A12" s="381"/>
      <c r="B12" s="1888">
        <v>111</v>
      </c>
      <c r="C12" s="382"/>
      <c r="D12" s="383">
        <v>100</v>
      </c>
      <c r="E12" s="384"/>
      <c r="F12" s="126">
        <f>SUMIF(64:64,E12,65:65)-SUMIF(64:64,C12,65:65)+100</f>
        <v>100</v>
      </c>
      <c r="G12" s="1965"/>
      <c r="H12" s="126">
        <f>SUMIF(64:64,G12,65:65)-SUMIF(64:64,C12,65:65)+100</f>
        <v>100</v>
      </c>
      <c r="I12" s="419"/>
      <c r="J12" s="126">
        <f>SUMIF(64:64,I12,65:65)-SUMIF(64:64,C12,65:65)+100</f>
        <v>100</v>
      </c>
      <c r="K12" s="561"/>
      <c r="L12" s="911"/>
      <c r="M12" s="912"/>
      <c r="N12" s="912"/>
      <c r="O12" s="913"/>
      <c r="P12" s="3705"/>
      <c r="Q12" s="1338">
        <f t="shared" si="6"/>
        <v>111</v>
      </c>
      <c r="R12" s="699" t="s">
        <v>14</v>
      </c>
      <c r="S12" s="700">
        <f t="shared" si="0"/>
        <v>100</v>
      </c>
      <c r="T12" s="699" t="s">
        <v>14</v>
      </c>
      <c r="U12" s="700">
        <f t="shared" si="1"/>
        <v>100</v>
      </c>
      <c r="V12" s="699" t="s">
        <v>14</v>
      </c>
      <c r="W12" s="700">
        <f t="shared" si="2"/>
        <v>100</v>
      </c>
      <c r="X12" s="701"/>
      <c r="Y12" s="3579"/>
      <c r="Z12" s="52">
        <f t="shared" si="7"/>
        <v>111</v>
      </c>
      <c r="AA12" s="702">
        <f>D12/F12</f>
        <v>1</v>
      </c>
      <c r="AB12" s="702">
        <f>D12/H12</f>
        <v>1</v>
      </c>
      <c r="AC12" s="702">
        <f>D12/J12</f>
        <v>1</v>
      </c>
    </row>
    <row r="13" spans="1:29" ht="15">
      <c r="A13" s="378"/>
      <c r="B13" s="1888">
        <v>111</v>
      </c>
      <c r="C13" s="384"/>
      <c r="D13" s="385">
        <v>100</v>
      </c>
      <c r="E13" s="384"/>
      <c r="F13" s="126">
        <f>SUMIF(66:66,E13,67:67)-SUMIF(66:66,C13,67:67)+100</f>
        <v>100</v>
      </c>
      <c r="G13" s="1965"/>
      <c r="H13" s="385">
        <f>SUMIF(66:66,G13,67:67)-SUMIF(66:66,C13,67:67)+100</f>
        <v>100</v>
      </c>
      <c r="I13" s="419"/>
      <c r="J13" s="385">
        <f>SUMIF(66:66,I13,67:67)-SUMIF(66:66,C13,67:67)+100</f>
        <v>100</v>
      </c>
      <c r="K13" s="561"/>
      <c r="L13" s="919"/>
      <c r="M13" s="910"/>
      <c r="N13" s="910"/>
      <c r="O13" s="918"/>
      <c r="P13" s="3705"/>
      <c r="Q13" s="1338">
        <f t="shared" si="6"/>
        <v>111</v>
      </c>
      <c r="R13" s="699" t="s">
        <v>14</v>
      </c>
      <c r="S13" s="700">
        <f t="shared" si="0"/>
        <v>100</v>
      </c>
      <c r="T13" s="699" t="s">
        <v>14</v>
      </c>
      <c r="U13" s="700">
        <f t="shared" si="1"/>
        <v>100</v>
      </c>
      <c r="V13" s="699" t="s">
        <v>14</v>
      </c>
      <c r="W13" s="700">
        <f t="shared" si="2"/>
        <v>100</v>
      </c>
      <c r="X13" s="701"/>
      <c r="Y13" s="3579"/>
      <c r="Z13" s="52">
        <f t="shared" si="7"/>
        <v>111</v>
      </c>
      <c r="AA13" s="702">
        <f t="shared" si="3"/>
        <v>1</v>
      </c>
      <c r="AB13" s="702">
        <f t="shared" si="4"/>
        <v>1</v>
      </c>
      <c r="AC13" s="702">
        <f t="shared" si="5"/>
        <v>1</v>
      </c>
    </row>
    <row r="14" spans="1:29" ht="15.75" thickBot="1">
      <c r="A14" s="386"/>
      <c r="B14" s="1890">
        <v>111</v>
      </c>
      <c r="C14" s="387"/>
      <c r="D14" s="388">
        <v>100</v>
      </c>
      <c r="E14" s="387"/>
      <c r="F14" s="388">
        <f>SUMIF(68:68,E14,69:69)-SUMIF(68:68,C14,69:69)+100</f>
        <v>100</v>
      </c>
      <c r="G14" s="1965"/>
      <c r="H14" s="388">
        <f>SUMIF(68:68,G14,69:69)-SUMIF(68:68,C14,69:69)+100</f>
        <v>100</v>
      </c>
      <c r="I14" s="419"/>
      <c r="J14" s="388">
        <f>SUMIF(68:68,I14,69:69)-SUMIF(68:68,C14,69:69)+100</f>
        <v>100</v>
      </c>
      <c r="K14" s="561"/>
      <c r="L14" s="919"/>
      <c r="M14" s="910"/>
      <c r="N14" s="910"/>
      <c r="O14" s="918"/>
      <c r="P14" s="3705"/>
      <c r="Q14" s="1338">
        <f t="shared" si="6"/>
        <v>111</v>
      </c>
      <c r="R14" s="699" t="s">
        <v>14</v>
      </c>
      <c r="S14" s="700">
        <f t="shared" si="0"/>
        <v>100</v>
      </c>
      <c r="T14" s="699" t="s">
        <v>14</v>
      </c>
      <c r="U14" s="700">
        <f t="shared" si="1"/>
        <v>100</v>
      </c>
      <c r="V14" s="699" t="s">
        <v>14</v>
      </c>
      <c r="W14" s="700">
        <f t="shared" si="2"/>
        <v>100</v>
      </c>
      <c r="X14" s="701"/>
      <c r="Y14" s="3579"/>
      <c r="Z14" s="52">
        <f t="shared" si="7"/>
        <v>111</v>
      </c>
      <c r="AA14" s="702">
        <f t="shared" si="3"/>
        <v>1</v>
      </c>
      <c r="AB14" s="702">
        <f t="shared" si="4"/>
        <v>1</v>
      </c>
      <c r="AC14" s="702">
        <f t="shared" si="5"/>
        <v>1</v>
      </c>
    </row>
    <row r="15" spans="1:29" ht="57">
      <c r="A15" s="390" t="s">
        <v>1688</v>
      </c>
      <c r="B15" s="61" t="s">
        <v>1825</v>
      </c>
      <c r="C15" s="1966"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707" t="s">
        <v>1689</v>
      </c>
      <c r="Q15" s="1347" t="str">
        <f t="shared" si="6"/>
        <v>产业集聚程度</v>
      </c>
      <c r="R15" s="703" t="s">
        <v>14</v>
      </c>
      <c r="S15" s="704">
        <f t="shared" si="0"/>
        <v>100</v>
      </c>
      <c r="T15" s="703" t="s">
        <v>14</v>
      </c>
      <c r="U15" s="704">
        <f t="shared" si="1"/>
        <v>100</v>
      </c>
      <c r="V15" s="703" t="s">
        <v>14</v>
      </c>
      <c r="W15" s="704">
        <f t="shared" si="2"/>
        <v>100</v>
      </c>
      <c r="X15" s="1350"/>
      <c r="Y15" s="3707" t="s">
        <v>1689</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19"/>
      <c r="M16" s="910"/>
      <c r="N16" s="910"/>
      <c r="O16" s="918"/>
      <c r="P16" s="3708"/>
      <c r="Q16" s="1347"/>
      <c r="R16" s="703"/>
      <c r="S16" s="704"/>
      <c r="T16" s="703"/>
      <c r="U16" s="704"/>
      <c r="V16" s="703"/>
      <c r="W16" s="704"/>
      <c r="X16" s="1350"/>
      <c r="Y16" s="3708"/>
      <c r="Z16" s="1351"/>
      <c r="AA16" s="1348">
        <v>1</v>
      </c>
      <c r="AB16" s="1348">
        <v>1</v>
      </c>
      <c r="AC16" s="1348">
        <v>1</v>
      </c>
    </row>
    <row r="17" spans="1:29" ht="85.5">
      <c r="A17" s="378"/>
      <c r="B17" s="401" t="s">
        <v>1258</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708"/>
      <c r="Q17" s="1347" t="str">
        <f>B17</f>
        <v>交通便捷度</v>
      </c>
      <c r="R17" s="703" t="s">
        <v>14</v>
      </c>
      <c r="S17" s="704">
        <f>F17</f>
        <v>100</v>
      </c>
      <c r="T17" s="703" t="s">
        <v>14</v>
      </c>
      <c r="U17" s="704">
        <f>H17</f>
        <v>100</v>
      </c>
      <c r="V17" s="703" t="s">
        <v>14</v>
      </c>
      <c r="W17" s="704">
        <f>J17</f>
        <v>100</v>
      </c>
      <c r="X17" s="1350"/>
      <c r="Y17" s="3708"/>
      <c r="Z17" s="1351" t="str">
        <f>Q17</f>
        <v>交通便捷度</v>
      </c>
      <c r="AA17" s="1348">
        <f t="shared" si="3"/>
        <v>1</v>
      </c>
      <c r="AB17" s="1348">
        <f t="shared" si="4"/>
        <v>1</v>
      </c>
      <c r="AC17" s="1348">
        <f t="shared" si="5"/>
        <v>1</v>
      </c>
    </row>
    <row r="18" spans="1:29" ht="15">
      <c r="A18" s="378"/>
      <c r="B18" s="406"/>
      <c r="C18" s="1896"/>
      <c r="D18" s="400"/>
      <c r="E18" s="1898"/>
      <c r="F18" s="403"/>
      <c r="G18" s="1897"/>
      <c r="H18" s="398"/>
      <c r="I18" s="1898"/>
      <c r="J18" s="398"/>
      <c r="K18" s="563"/>
      <c r="L18" s="919"/>
      <c r="M18" s="910"/>
      <c r="N18" s="910"/>
      <c r="O18" s="918"/>
      <c r="P18" s="3708"/>
      <c r="Q18" s="1347"/>
      <c r="R18" s="703"/>
      <c r="S18" s="704"/>
      <c r="T18" s="703"/>
      <c r="U18" s="704"/>
      <c r="V18" s="703"/>
      <c r="W18" s="704"/>
      <c r="X18" s="1350"/>
      <c r="Y18" s="3708"/>
      <c r="Z18" s="1351"/>
      <c r="AA18" s="1348">
        <v>1</v>
      </c>
      <c r="AB18" s="1348">
        <v>1</v>
      </c>
      <c r="AC18" s="1348">
        <v>1</v>
      </c>
    </row>
    <row r="19" spans="1:29" ht="42.75">
      <c r="A19" s="378"/>
      <c r="B19" s="401" t="s">
        <v>1810</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708"/>
      <c r="Q19" s="1347" t="str">
        <f>B19</f>
        <v>公共配套设施</v>
      </c>
      <c r="R19" s="703" t="s">
        <v>14</v>
      </c>
      <c r="S19" s="704">
        <f>F19</f>
        <v>100</v>
      </c>
      <c r="T19" s="703" t="s">
        <v>14</v>
      </c>
      <c r="U19" s="704">
        <f>H19</f>
        <v>100</v>
      </c>
      <c r="V19" s="703" t="s">
        <v>14</v>
      </c>
      <c r="W19" s="704">
        <f>J19</f>
        <v>100</v>
      </c>
      <c r="X19" s="1350"/>
      <c r="Y19" s="3708"/>
      <c r="Z19" s="1351" t="str">
        <f>Q19</f>
        <v>公共配套设施</v>
      </c>
      <c r="AA19" s="1348">
        <f t="shared" si="3"/>
        <v>1</v>
      </c>
      <c r="AB19" s="1348">
        <f t="shared" si="4"/>
        <v>1</v>
      </c>
      <c r="AC19" s="1348">
        <f t="shared" si="5"/>
        <v>1</v>
      </c>
    </row>
    <row r="20" spans="1:29" ht="15">
      <c r="A20" s="378"/>
      <c r="B20" s="406"/>
      <c r="C20" s="397"/>
      <c r="D20" s="398"/>
      <c r="E20" s="1893"/>
      <c r="F20" s="399"/>
      <c r="G20" s="1892"/>
      <c r="H20" s="398"/>
      <c r="I20" s="1893"/>
      <c r="J20" s="398"/>
      <c r="K20" s="563"/>
      <c r="L20" s="919"/>
      <c r="M20" s="910"/>
      <c r="N20" s="910"/>
      <c r="O20" s="918"/>
      <c r="P20" s="3708"/>
      <c r="Q20" s="1347"/>
      <c r="R20" s="703"/>
      <c r="S20" s="704"/>
      <c r="T20" s="703"/>
      <c r="U20" s="704"/>
      <c r="V20" s="703"/>
      <c r="W20" s="704"/>
      <c r="X20" s="1350"/>
      <c r="Y20" s="3708"/>
      <c r="Z20" s="1351"/>
      <c r="AA20" s="1348">
        <v>1</v>
      </c>
      <c r="AB20" s="1348">
        <v>1</v>
      </c>
      <c r="AC20" s="1348">
        <v>1</v>
      </c>
    </row>
    <row r="21" spans="1:29" ht="28.5">
      <c r="A21" s="378"/>
      <c r="B21" s="1127" t="s">
        <v>1811</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708"/>
      <c r="Q21" s="1347" t="str">
        <f>B21</f>
        <v>基础设施水平</v>
      </c>
      <c r="R21" s="703" t="s">
        <v>14</v>
      </c>
      <c r="S21" s="704">
        <f>F21</f>
        <v>100</v>
      </c>
      <c r="T21" s="703" t="s">
        <v>14</v>
      </c>
      <c r="U21" s="704">
        <f>H21</f>
        <v>100</v>
      </c>
      <c r="V21" s="703" t="s">
        <v>14</v>
      </c>
      <c r="W21" s="704">
        <f>J21</f>
        <v>100</v>
      </c>
      <c r="X21" s="1350"/>
      <c r="Y21" s="3708"/>
      <c r="Z21" s="1351" t="str">
        <f>Q21</f>
        <v>基础设施水平</v>
      </c>
      <c r="AA21" s="1348">
        <f t="shared" ref="AA21" si="8">D21/F21</f>
        <v>1</v>
      </c>
      <c r="AB21" s="1348">
        <f t="shared" ref="AB21" si="9">D21/H21</f>
        <v>1</v>
      </c>
      <c r="AC21" s="1348">
        <f t="shared" ref="AC21" si="10">D21/J21</f>
        <v>1</v>
      </c>
    </row>
    <row r="22" spans="1:29" ht="15">
      <c r="A22" s="378"/>
      <c r="B22" s="1127"/>
      <c r="C22" s="1896"/>
      <c r="D22" s="398"/>
      <c r="E22" s="397"/>
      <c r="F22" s="399"/>
      <c r="G22" s="397"/>
      <c r="H22" s="398"/>
      <c r="I22" s="397"/>
      <c r="J22" s="398"/>
      <c r="K22" s="1126"/>
      <c r="L22" s="919"/>
      <c r="M22" s="910"/>
      <c r="N22" s="910"/>
      <c r="O22" s="918"/>
      <c r="P22" s="3708"/>
      <c r="Q22" s="1347"/>
      <c r="R22" s="703"/>
      <c r="S22" s="704"/>
      <c r="T22" s="703"/>
      <c r="U22" s="704"/>
      <c r="V22" s="703"/>
      <c r="W22" s="704"/>
      <c r="X22" s="1350"/>
      <c r="Y22" s="3708"/>
      <c r="Z22" s="1351"/>
      <c r="AA22" s="1348">
        <v>1</v>
      </c>
      <c r="AB22" s="1348">
        <v>1</v>
      </c>
      <c r="AC22" s="1348">
        <v>1</v>
      </c>
    </row>
    <row r="23" spans="1:29" ht="71.25">
      <c r="A23" s="378"/>
      <c r="B23" s="401" t="s">
        <v>1812</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708"/>
      <c r="Q23" s="1347" t="str">
        <f>B23</f>
        <v>环境质量</v>
      </c>
      <c r="R23" s="703" t="s">
        <v>14</v>
      </c>
      <c r="S23" s="704">
        <f>F23</f>
        <v>100</v>
      </c>
      <c r="T23" s="703" t="s">
        <v>14</v>
      </c>
      <c r="U23" s="704">
        <f>H23</f>
        <v>100</v>
      </c>
      <c r="V23" s="703" t="s">
        <v>14</v>
      </c>
      <c r="W23" s="704">
        <f>J23</f>
        <v>100</v>
      </c>
      <c r="X23" s="1350"/>
      <c r="Y23" s="3708"/>
      <c r="Z23" s="1351" t="str">
        <f>Q23</f>
        <v>环境质量</v>
      </c>
      <c r="AA23" s="1348">
        <f t="shared" si="3"/>
        <v>1</v>
      </c>
      <c r="AB23" s="1348">
        <f t="shared" si="4"/>
        <v>1</v>
      </c>
      <c r="AC23" s="1348">
        <f t="shared" si="5"/>
        <v>1</v>
      </c>
    </row>
    <row r="24" spans="1:29" ht="15">
      <c r="A24" s="378"/>
      <c r="B24" s="1127"/>
      <c r="C24" s="397"/>
      <c r="D24" s="398"/>
      <c r="E24" s="1893"/>
      <c r="F24" s="399"/>
      <c r="G24" s="1892"/>
      <c r="H24" s="398"/>
      <c r="I24" s="1893"/>
      <c r="J24" s="398"/>
      <c r="K24" s="563"/>
      <c r="L24" s="919"/>
      <c r="M24" s="910"/>
      <c r="N24" s="910"/>
      <c r="O24" s="918"/>
      <c r="P24" s="3708"/>
      <c r="Q24" s="1347"/>
      <c r="R24" s="703"/>
      <c r="S24" s="704"/>
      <c r="T24" s="703"/>
      <c r="U24" s="704"/>
      <c r="V24" s="703"/>
      <c r="W24" s="704"/>
      <c r="X24" s="1350"/>
      <c r="Y24" s="3708"/>
      <c r="Z24" s="1351"/>
      <c r="AA24" s="1348">
        <v>1</v>
      </c>
      <c r="AB24" s="1348">
        <v>1</v>
      </c>
      <c r="AC24" s="1348">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08"/>
      <c r="Q25" s="1347">
        <f>B25</f>
        <v>111</v>
      </c>
      <c r="R25" s="703" t="s">
        <v>14</v>
      </c>
      <c r="S25" s="704">
        <f>F25</f>
        <v>100</v>
      </c>
      <c r="T25" s="703" t="s">
        <v>14</v>
      </c>
      <c r="U25" s="704">
        <f>H25</f>
        <v>100</v>
      </c>
      <c r="V25" s="703" t="s">
        <v>14</v>
      </c>
      <c r="W25" s="704">
        <f>J25</f>
        <v>100</v>
      </c>
      <c r="X25" s="1350"/>
      <c r="Y25" s="3708"/>
      <c r="Z25" s="1351">
        <f>Q25</f>
        <v>111</v>
      </c>
      <c r="AA25" s="1348">
        <f t="shared" si="3"/>
        <v>1</v>
      </c>
      <c r="AB25" s="1348">
        <f t="shared" si="4"/>
        <v>1</v>
      </c>
      <c r="AC25" s="1348">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08"/>
      <c r="Q26" s="1347">
        <f t="shared" ref="Q26:Q40" si="11">B26</f>
        <v>111</v>
      </c>
      <c r="R26" s="703" t="s">
        <v>14</v>
      </c>
      <c r="S26" s="704">
        <f>F26</f>
        <v>100</v>
      </c>
      <c r="T26" s="703" t="s">
        <v>14</v>
      </c>
      <c r="U26" s="704">
        <f>H26</f>
        <v>100</v>
      </c>
      <c r="V26" s="703" t="s">
        <v>14</v>
      </c>
      <c r="W26" s="704">
        <f>J26</f>
        <v>100</v>
      </c>
      <c r="X26" s="1350"/>
      <c r="Y26" s="3708"/>
      <c r="Z26" s="1351">
        <f>Q26</f>
        <v>111</v>
      </c>
      <c r="AA26" s="1348">
        <f t="shared" si="3"/>
        <v>1</v>
      </c>
      <c r="AB26" s="1348">
        <f t="shared" si="4"/>
        <v>1</v>
      </c>
      <c r="AC26" s="1348">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08"/>
      <c r="Q27" s="1338">
        <f t="shared" si="11"/>
        <v>111</v>
      </c>
      <c r="R27" s="699" t="s">
        <v>14</v>
      </c>
      <c r="S27" s="700">
        <f>F27</f>
        <v>100</v>
      </c>
      <c r="T27" s="699" t="s">
        <v>14</v>
      </c>
      <c r="U27" s="700">
        <f>H27</f>
        <v>100</v>
      </c>
      <c r="V27" s="699" t="s">
        <v>14</v>
      </c>
      <c r="W27" s="700">
        <f>J27</f>
        <v>100</v>
      </c>
      <c r="X27" s="701"/>
      <c r="Y27" s="3708"/>
      <c r="Z27" s="52">
        <f>Q27</f>
        <v>111</v>
      </c>
      <c r="AA27" s="1348">
        <f>D27/F27</f>
        <v>1</v>
      </c>
      <c r="AB27" s="1348">
        <f>D27/H27</f>
        <v>1</v>
      </c>
      <c r="AC27" s="1348">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08"/>
      <c r="Q28" s="1347">
        <f t="shared" si="11"/>
        <v>111</v>
      </c>
      <c r="R28" s="703" t="s">
        <v>14</v>
      </c>
      <c r="S28" s="704">
        <f t="shared" ref="S28:S40" si="12">F28</f>
        <v>100</v>
      </c>
      <c r="T28" s="703" t="s">
        <v>14</v>
      </c>
      <c r="U28" s="704">
        <f t="shared" ref="U28:U40" si="13">H28</f>
        <v>100</v>
      </c>
      <c r="V28" s="703" t="s">
        <v>14</v>
      </c>
      <c r="W28" s="704">
        <f t="shared" ref="W28:W40" si="14">J28</f>
        <v>100</v>
      </c>
      <c r="X28" s="1350"/>
      <c r="Y28" s="3708"/>
      <c r="Z28" s="1351">
        <f t="shared" ref="Z28:Z40" si="15">Q28</f>
        <v>111</v>
      </c>
      <c r="AA28" s="1348">
        <f t="shared" si="3"/>
        <v>1</v>
      </c>
      <c r="AB28" s="1348">
        <f t="shared" si="4"/>
        <v>1</v>
      </c>
      <c r="AC28" s="1348">
        <f t="shared" si="5"/>
        <v>1</v>
      </c>
    </row>
    <row r="29" spans="1:29" ht="28.5">
      <c r="A29" s="416" t="s">
        <v>1692</v>
      </c>
      <c r="B29" s="63" t="s">
        <v>1815</v>
      </c>
      <c r="C29" s="1962"/>
      <c r="D29" s="417">
        <v>100</v>
      </c>
      <c r="E29" s="1962"/>
      <c r="F29" s="411">
        <f>SUMIF(88:88,E29,89:89)-SUMIF(88:88,C29,89:89)+100</f>
        <v>100</v>
      </c>
      <c r="G29" s="1962"/>
      <c r="H29" s="385">
        <f>SUMIF(88:88,G29,89:89)-SUMIF(88:88,C29,89:89)+100</f>
        <v>100</v>
      </c>
      <c r="I29" s="1962"/>
      <c r="J29" s="417">
        <f>SUMIF(88:88,I29,89:89)-SUMIF(88:88,C29,89:89)+100</f>
        <v>100</v>
      </c>
      <c r="K29" s="560"/>
      <c r="L29" s="919"/>
      <c r="M29" s="910"/>
      <c r="N29" s="910"/>
      <c r="O29" s="918"/>
      <c r="P29" s="3763" t="s">
        <v>1694</v>
      </c>
      <c r="Q29" s="1347" t="str">
        <f t="shared" si="11"/>
        <v>建筑类型</v>
      </c>
      <c r="R29" s="703" t="s">
        <v>14</v>
      </c>
      <c r="S29" s="704">
        <f t="shared" si="12"/>
        <v>100</v>
      </c>
      <c r="T29" s="703" t="s">
        <v>14</v>
      </c>
      <c r="U29" s="704">
        <f t="shared" si="13"/>
        <v>100</v>
      </c>
      <c r="V29" s="703" t="s">
        <v>14</v>
      </c>
      <c r="W29" s="704">
        <f t="shared" si="14"/>
        <v>100</v>
      </c>
      <c r="X29" s="1350"/>
      <c r="Y29" s="3712" t="s">
        <v>1694</v>
      </c>
      <c r="Z29" s="1351" t="str">
        <f t="shared" si="15"/>
        <v>建筑类型</v>
      </c>
      <c r="AA29" s="1348">
        <f t="shared" si="3"/>
        <v>1</v>
      </c>
      <c r="AB29" s="1348">
        <f t="shared" si="4"/>
        <v>1</v>
      </c>
      <c r="AC29" s="1348">
        <f t="shared" si="5"/>
        <v>1</v>
      </c>
    </row>
    <row r="30" spans="1:29" s="421" customFormat="1" ht="15">
      <c r="A30" s="418"/>
      <c r="B30" s="374" t="s">
        <v>1695</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712"/>
      <c r="Q30" s="705" t="str">
        <f t="shared" si="11"/>
        <v>项目建筑规模</v>
      </c>
      <c r="R30" s="706" t="s">
        <v>14</v>
      </c>
      <c r="S30" s="707" t="e">
        <f t="shared" si="12"/>
        <v>#N/A</v>
      </c>
      <c r="T30" s="706" t="s">
        <v>14</v>
      </c>
      <c r="U30" s="707" t="e">
        <f t="shared" si="13"/>
        <v>#N/A</v>
      </c>
      <c r="V30" s="706" t="s">
        <v>14</v>
      </c>
      <c r="W30" s="707" t="e">
        <f t="shared" si="14"/>
        <v>#N/A</v>
      </c>
      <c r="X30" s="708"/>
      <c r="Y30" s="3712"/>
      <c r="Z30" s="709" t="str">
        <f t="shared" si="15"/>
        <v>项目建筑规模</v>
      </c>
      <c r="AA30" s="1348" t="e">
        <f t="shared" si="3"/>
        <v>#N/A</v>
      </c>
      <c r="AB30" s="1348" t="e">
        <f t="shared" si="4"/>
        <v>#N/A</v>
      </c>
      <c r="AC30" s="1348" t="e">
        <f t="shared" si="5"/>
        <v>#N/A</v>
      </c>
    </row>
    <row r="31" spans="1:29" ht="15">
      <c r="A31" s="422"/>
      <c r="B31" s="374" t="s">
        <v>1696</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712"/>
      <c r="Q31" s="1347" t="str">
        <f t="shared" si="11"/>
        <v>建筑结构</v>
      </c>
      <c r="R31" s="703" t="s">
        <v>14</v>
      </c>
      <c r="S31" s="704">
        <f t="shared" si="12"/>
        <v>100</v>
      </c>
      <c r="T31" s="703" t="s">
        <v>14</v>
      </c>
      <c r="U31" s="704">
        <f t="shared" si="13"/>
        <v>100</v>
      </c>
      <c r="V31" s="703" t="s">
        <v>14</v>
      </c>
      <c r="W31" s="704">
        <f t="shared" si="14"/>
        <v>100</v>
      </c>
      <c r="X31" s="1350"/>
      <c r="Y31" s="3712"/>
      <c r="Z31" s="1351" t="str">
        <f t="shared" si="15"/>
        <v>建筑结构</v>
      </c>
      <c r="AA31" s="1348">
        <f t="shared" si="3"/>
        <v>1</v>
      </c>
      <c r="AB31" s="1348">
        <f t="shared" si="4"/>
        <v>1</v>
      </c>
      <c r="AC31" s="1348">
        <f t="shared" si="5"/>
        <v>1</v>
      </c>
    </row>
    <row r="32" spans="1:29" ht="15">
      <c r="A32" s="422"/>
      <c r="B32" s="374" t="s">
        <v>1783</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712"/>
      <c r="Q32" s="1347" t="str">
        <f t="shared" si="11"/>
        <v>公共部分装修</v>
      </c>
      <c r="R32" s="703" t="s">
        <v>14</v>
      </c>
      <c r="S32" s="704">
        <f t="shared" si="12"/>
        <v>100</v>
      </c>
      <c r="T32" s="703" t="s">
        <v>14</v>
      </c>
      <c r="U32" s="704">
        <f t="shared" si="13"/>
        <v>100</v>
      </c>
      <c r="V32" s="703" t="s">
        <v>14</v>
      </c>
      <c r="W32" s="704">
        <f t="shared" si="14"/>
        <v>100</v>
      </c>
      <c r="X32" s="1350"/>
      <c r="Y32" s="3712"/>
      <c r="Z32" s="1351" t="str">
        <f t="shared" si="15"/>
        <v>公共部分装修</v>
      </c>
      <c r="AA32" s="1348">
        <f t="shared" si="3"/>
        <v>1</v>
      </c>
      <c r="AB32" s="1348">
        <f t="shared" si="4"/>
        <v>1</v>
      </c>
      <c r="AC32" s="1348">
        <f t="shared" si="5"/>
        <v>1</v>
      </c>
    </row>
    <row r="33" spans="1:29" ht="15">
      <c r="A33" s="422"/>
      <c r="B33" s="374" t="s">
        <v>1784</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712"/>
      <c r="Q33" s="1347" t="str">
        <f t="shared" si="11"/>
        <v>成新度</v>
      </c>
      <c r="R33" s="703" t="s">
        <v>14</v>
      </c>
      <c r="S33" s="704" t="e">
        <f t="shared" si="12"/>
        <v>#N/A</v>
      </c>
      <c r="T33" s="703" t="s">
        <v>14</v>
      </c>
      <c r="U33" s="704" t="e">
        <f t="shared" si="13"/>
        <v>#N/A</v>
      </c>
      <c r="V33" s="703" t="s">
        <v>14</v>
      </c>
      <c r="W33" s="704" t="e">
        <f t="shared" si="14"/>
        <v>#N/A</v>
      </c>
      <c r="X33" s="1350"/>
      <c r="Y33" s="3712"/>
      <c r="Z33" s="1351" t="str">
        <f t="shared" si="15"/>
        <v>成新度</v>
      </c>
      <c r="AA33" s="1348" t="e">
        <f t="shared" si="3"/>
        <v>#N/A</v>
      </c>
      <c r="AB33" s="1348" t="e">
        <f t="shared" si="4"/>
        <v>#N/A</v>
      </c>
      <c r="AC33" s="1348" t="e">
        <f t="shared" si="5"/>
        <v>#N/A</v>
      </c>
    </row>
    <row r="34" spans="1:29" s="108" customFormat="1" ht="15">
      <c r="A34" s="423"/>
      <c r="B34" s="374" t="s">
        <v>1817</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712"/>
      <c r="Q34" s="1338" t="str">
        <f t="shared" si="11"/>
        <v>物业管理</v>
      </c>
      <c r="R34" s="699" t="s">
        <v>14</v>
      </c>
      <c r="S34" s="700">
        <f t="shared" si="12"/>
        <v>100</v>
      </c>
      <c r="T34" s="699" t="s">
        <v>14</v>
      </c>
      <c r="U34" s="700">
        <f t="shared" si="13"/>
        <v>100</v>
      </c>
      <c r="V34" s="699" t="s">
        <v>14</v>
      </c>
      <c r="W34" s="700">
        <f t="shared" si="14"/>
        <v>100</v>
      </c>
      <c r="X34" s="701"/>
      <c r="Y34" s="3712"/>
      <c r="Z34" s="52" t="str">
        <f t="shared" si="15"/>
        <v>物业管理</v>
      </c>
      <c r="AA34" s="702">
        <f t="shared" si="3"/>
        <v>1</v>
      </c>
      <c r="AB34" s="702">
        <f t="shared" si="4"/>
        <v>1</v>
      </c>
      <c r="AC34" s="702">
        <f t="shared" si="5"/>
        <v>1</v>
      </c>
    </row>
    <row r="35" spans="1:29" ht="15">
      <c r="A35" s="422"/>
      <c r="B35" s="374" t="s">
        <v>1785</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712" t="s">
        <v>1694</v>
      </c>
      <c r="Q35" s="1347" t="str">
        <f t="shared" si="11"/>
        <v>市政基础设施</v>
      </c>
      <c r="R35" s="703" t="s">
        <v>14</v>
      </c>
      <c r="S35" s="704">
        <f t="shared" si="12"/>
        <v>100</v>
      </c>
      <c r="T35" s="703" t="s">
        <v>14</v>
      </c>
      <c r="U35" s="704">
        <f t="shared" si="13"/>
        <v>100</v>
      </c>
      <c r="V35" s="703" t="s">
        <v>14</v>
      </c>
      <c r="W35" s="704">
        <f t="shared" si="14"/>
        <v>100</v>
      </c>
      <c r="X35" s="1350"/>
      <c r="Y35" s="3712" t="s">
        <v>1694</v>
      </c>
      <c r="Z35" s="1351" t="str">
        <f t="shared" si="15"/>
        <v>市政基础设施</v>
      </c>
      <c r="AA35" s="1348">
        <f t="shared" si="3"/>
        <v>1</v>
      </c>
      <c r="AB35" s="1348">
        <f t="shared" si="4"/>
        <v>1</v>
      </c>
      <c r="AC35" s="1348">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712"/>
      <c r="Q36" s="1347" t="str">
        <f t="shared" si="11"/>
        <v>内部装修</v>
      </c>
      <c r="R36" s="703" t="s">
        <v>14</v>
      </c>
      <c r="S36" s="704">
        <f t="shared" si="12"/>
        <v>100</v>
      </c>
      <c r="T36" s="703" t="s">
        <v>14</v>
      </c>
      <c r="U36" s="704">
        <f t="shared" si="13"/>
        <v>100</v>
      </c>
      <c r="V36" s="703" t="s">
        <v>14</v>
      </c>
      <c r="W36" s="704">
        <f t="shared" si="14"/>
        <v>100</v>
      </c>
      <c r="X36" s="1350"/>
      <c r="Y36" s="3712"/>
      <c r="Z36" s="1351" t="str">
        <f t="shared" si="15"/>
        <v>内部装修</v>
      </c>
      <c r="AA36" s="1348">
        <f t="shared" si="3"/>
        <v>1</v>
      </c>
      <c r="AB36" s="1348">
        <f t="shared" si="4"/>
        <v>1</v>
      </c>
      <c r="AC36" s="1348">
        <f t="shared" si="5"/>
        <v>1</v>
      </c>
    </row>
    <row r="37" spans="1:29" ht="15">
      <c r="A37" s="422"/>
      <c r="B37" s="374" t="s">
        <v>1826</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712"/>
      <c r="Q37" s="1347" t="str">
        <f t="shared" si="11"/>
        <v>内部装修状况</v>
      </c>
      <c r="R37" s="703" t="s">
        <v>14</v>
      </c>
      <c r="S37" s="704">
        <f t="shared" si="12"/>
        <v>100</v>
      </c>
      <c r="T37" s="703" t="s">
        <v>14</v>
      </c>
      <c r="U37" s="704">
        <f t="shared" si="13"/>
        <v>100</v>
      </c>
      <c r="V37" s="703" t="s">
        <v>14</v>
      </c>
      <c r="W37" s="704">
        <f t="shared" si="14"/>
        <v>100</v>
      </c>
      <c r="X37" s="1350"/>
      <c r="Y37" s="3712"/>
      <c r="Z37" s="1351" t="str">
        <f t="shared" si="15"/>
        <v>内部装修状况</v>
      </c>
      <c r="AA37" s="1348">
        <f t="shared" si="3"/>
        <v>1</v>
      </c>
      <c r="AB37" s="1348">
        <f t="shared" si="4"/>
        <v>1</v>
      </c>
      <c r="AC37" s="1348">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712"/>
      <c r="Q38" s="705">
        <f t="shared" si="11"/>
        <v>111</v>
      </c>
      <c r="R38" s="706" t="s">
        <v>14</v>
      </c>
      <c r="S38" s="707">
        <f t="shared" si="12"/>
        <v>100</v>
      </c>
      <c r="T38" s="706" t="s">
        <v>14</v>
      </c>
      <c r="U38" s="707">
        <f t="shared" si="13"/>
        <v>100</v>
      </c>
      <c r="V38" s="706" t="s">
        <v>14</v>
      </c>
      <c r="W38" s="707">
        <f t="shared" si="14"/>
        <v>100</v>
      </c>
      <c r="X38" s="708"/>
      <c r="Y38" s="3712"/>
      <c r="Z38" s="709">
        <f t="shared" si="15"/>
        <v>111</v>
      </c>
      <c r="AA38" s="1348">
        <f t="shared" si="3"/>
        <v>1</v>
      </c>
      <c r="AB38" s="1348">
        <f t="shared" si="4"/>
        <v>1</v>
      </c>
      <c r="AC38" s="1348">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712"/>
      <c r="Q39" s="1347">
        <f t="shared" si="11"/>
        <v>111</v>
      </c>
      <c r="R39" s="703" t="s">
        <v>14</v>
      </c>
      <c r="S39" s="704">
        <f t="shared" si="12"/>
        <v>100</v>
      </c>
      <c r="T39" s="703" t="s">
        <v>14</v>
      </c>
      <c r="U39" s="704">
        <f t="shared" si="13"/>
        <v>100</v>
      </c>
      <c r="V39" s="703" t="s">
        <v>14</v>
      </c>
      <c r="W39" s="704">
        <f t="shared" si="14"/>
        <v>100</v>
      </c>
      <c r="X39" s="1350"/>
      <c r="Y39" s="3712"/>
      <c r="Z39" s="1351">
        <f t="shared" si="15"/>
        <v>111</v>
      </c>
      <c r="AA39" s="1348">
        <f t="shared" si="3"/>
        <v>1</v>
      </c>
      <c r="AB39" s="1348">
        <f t="shared" si="4"/>
        <v>1</v>
      </c>
      <c r="AC39" s="1348">
        <f t="shared" si="5"/>
        <v>1</v>
      </c>
    </row>
    <row r="40" spans="1:29" ht="15.75" thickBot="1">
      <c r="A40" s="428"/>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713"/>
      <c r="Q40" s="1347">
        <f t="shared" si="11"/>
        <v>111</v>
      </c>
      <c r="R40" s="703" t="s">
        <v>14</v>
      </c>
      <c r="S40" s="704">
        <f t="shared" si="12"/>
        <v>100</v>
      </c>
      <c r="T40" s="703" t="s">
        <v>14</v>
      </c>
      <c r="U40" s="704">
        <f t="shared" si="13"/>
        <v>100</v>
      </c>
      <c r="V40" s="703" t="s">
        <v>14</v>
      </c>
      <c r="W40" s="704">
        <f t="shared" si="14"/>
        <v>100</v>
      </c>
      <c r="X40" s="1350"/>
      <c r="Y40" s="3713"/>
      <c r="Z40" s="1351">
        <f t="shared" si="15"/>
        <v>111</v>
      </c>
      <c r="AA40" s="1348">
        <f t="shared" si="3"/>
        <v>1</v>
      </c>
      <c r="AB40" s="1348">
        <f t="shared" si="4"/>
        <v>1</v>
      </c>
      <c r="AC40" s="1348">
        <f t="shared" si="5"/>
        <v>1</v>
      </c>
    </row>
    <row r="41" spans="1:29" ht="15">
      <c r="A41" s="429" t="s">
        <v>1706</v>
      </c>
      <c r="B41" s="430"/>
      <c r="C41" s="1150" t="s">
        <v>0</v>
      </c>
      <c r="D41" s="1151"/>
      <c r="E41" s="1152"/>
      <c r="F41" s="1153"/>
      <c r="G41" s="1154"/>
      <c r="H41" s="1155"/>
      <c r="I41" s="1152"/>
      <c r="J41" s="1155"/>
      <c r="K41" s="712"/>
      <c r="L41" s="922"/>
      <c r="M41" s="923"/>
      <c r="N41" s="910"/>
      <c r="O41" s="923"/>
      <c r="P41" s="3705" t="str">
        <f>A41</f>
        <v>成交单价（元/平方米）</v>
      </c>
      <c r="Q41" s="3705"/>
      <c r="R41" s="3706">
        <f>E41</f>
        <v>0</v>
      </c>
      <c r="S41" s="3706"/>
      <c r="T41" s="3706">
        <f>G41</f>
        <v>0</v>
      </c>
      <c r="U41" s="3706"/>
      <c r="V41" s="3706">
        <f>I41</f>
        <v>0</v>
      </c>
      <c r="W41" s="3706"/>
      <c r="X41" s="688"/>
      <c r="Y41" s="710"/>
      <c r="Z41" s="688"/>
      <c r="AA41" s="688"/>
      <c r="AB41" s="688"/>
      <c r="AC41" s="688"/>
    </row>
    <row r="42" spans="1:29" ht="15.75" thickBot="1">
      <c r="A42" s="436" t="s">
        <v>1791</v>
      </c>
      <c r="B42" s="437"/>
      <c r="C42" s="1156" t="e">
        <f>R43</f>
        <v>#DIV/0!</v>
      </c>
      <c r="D42" s="2312" t="s">
        <v>2135</v>
      </c>
      <c r="E42" s="1157" t="e">
        <f>R42</f>
        <v>#DIV/0!</v>
      </c>
      <c r="F42" s="2313"/>
      <c r="G42" s="1156" t="e">
        <f>T42</f>
        <v>#DIV/0!</v>
      </c>
      <c r="H42" s="2313"/>
      <c r="I42" s="1157" t="e">
        <f>V42</f>
        <v>#DIV/0!</v>
      </c>
      <c r="J42" s="2313"/>
      <c r="K42" s="2315">
        <f>F42+H42+J42</f>
        <v>0</v>
      </c>
      <c r="L42" s="922"/>
      <c r="M42" s="923"/>
      <c r="N42" s="910"/>
      <c r="O42" s="923"/>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8"/>
      <c r="Y42" s="688"/>
      <c r="Z42" s="688"/>
      <c r="AA42" s="688"/>
      <c r="AB42" s="688"/>
      <c r="AC42" s="688"/>
    </row>
    <row r="43" spans="1:29" ht="15.75" thickBot="1">
      <c r="A43" s="440" t="s">
        <v>1792</v>
      </c>
      <c r="B43" s="441"/>
      <c r="C43" s="1159" t="e">
        <f>R43</f>
        <v>#DIV/0!</v>
      </c>
      <c r="D43" s="1159"/>
      <c r="E43" s="1159"/>
      <c r="F43" s="1159"/>
      <c r="G43" s="1159"/>
      <c r="H43" s="1159"/>
      <c r="I43" s="1159"/>
      <c r="J43" s="1159"/>
      <c r="K43" s="713"/>
      <c r="L43" s="922"/>
      <c r="M43" s="923"/>
      <c r="N43" s="923"/>
      <c r="O43" s="923"/>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88"/>
      <c r="Y43" s="688"/>
      <c r="Z43" s="688"/>
      <c r="AA43" s="688"/>
      <c r="AB43" s="688"/>
      <c r="AC43" s="688"/>
    </row>
    <row r="44" spans="1:29">
      <c r="A44" s="2720"/>
      <c r="B44" s="2720"/>
      <c r="C44" s="2720"/>
      <c r="D44" s="2720"/>
      <c r="E44" s="2720"/>
      <c r="F44" s="2720"/>
      <c r="G44" s="2724"/>
      <c r="H44" s="2720"/>
      <c r="I44" s="2720"/>
      <c r="J44" s="2720"/>
      <c r="K44" s="2725"/>
      <c r="L44" s="887"/>
      <c r="M44" s="923"/>
      <c r="N44" s="923"/>
      <c r="O44" s="923"/>
    </row>
    <row r="45" spans="1:29">
      <c r="A45" s="2720"/>
      <c r="B45" s="2720"/>
      <c r="C45" s="2720"/>
      <c r="D45" s="2720"/>
      <c r="E45" s="2720"/>
      <c r="F45" s="2720"/>
      <c r="G45" s="2720"/>
      <c r="H45" s="2720"/>
      <c r="I45" s="2720"/>
      <c r="J45" s="2720"/>
      <c r="K45" s="2725"/>
      <c r="L45" s="887"/>
      <c r="M45" s="923"/>
      <c r="N45" s="923"/>
      <c r="O45" s="923"/>
    </row>
    <row r="46" spans="1:29" ht="13.5" customHeight="1">
      <c r="A46" s="2720"/>
      <c r="B46" s="2720"/>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887"/>
      <c r="M46" s="923"/>
      <c r="N46" s="923"/>
      <c r="O46" s="923"/>
    </row>
    <row r="47" spans="1:29" ht="13.5" customHeight="1">
      <c r="A47" s="2720"/>
      <c r="B47" s="2720"/>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887"/>
      <c r="M47" s="923"/>
      <c r="N47" s="923"/>
      <c r="O47" s="923"/>
    </row>
    <row r="48" spans="1:29" s="450" customFormat="1" ht="13.5" customHeight="1">
      <c r="A48" s="2723"/>
      <c r="B48" s="2723"/>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926"/>
      <c r="M48" s="924"/>
      <c r="N48" s="924"/>
      <c r="O48" s="924"/>
    </row>
    <row r="49" spans="1:17" s="450"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7"/>
      <c r="M50" s="923"/>
      <c r="N50" s="923"/>
      <c r="O50" s="923"/>
    </row>
    <row r="51" spans="1:17" ht="21.75" thickBot="1">
      <c r="A51" s="692" t="s">
        <v>1796</v>
      </c>
      <c r="B51" s="688"/>
      <c r="C51" s="693"/>
      <c r="D51" s="693"/>
      <c r="E51" s="693"/>
      <c r="F51" s="694"/>
      <c r="G51" s="694"/>
      <c r="H51" s="693"/>
      <c r="I51" s="693"/>
      <c r="J51" s="693"/>
      <c r="K51" s="937"/>
      <c r="L51" s="938"/>
      <c r="M51" s="936"/>
      <c r="N51" s="936"/>
      <c r="O51" s="936"/>
      <c r="P51" s="451"/>
      <c r="Q51" s="452"/>
    </row>
    <row r="52" spans="1:17" s="456" customFormat="1" ht="15">
      <c r="A52" s="453" t="s">
        <v>1677</v>
      </c>
      <c r="B52" s="454"/>
      <c r="C52" s="1179" t="str">
        <f>YEAR(C7)&amp;"-"&amp;MONTH(C7)</f>
        <v>2024-1</v>
      </c>
      <c r="D52" s="1180">
        <f>EDATE(C52,-1)</f>
        <v>45261</v>
      </c>
      <c r="E52" s="1180">
        <f t="shared" ref="E52:O52" si="16">EDATE(D52,-1)</f>
        <v>45231</v>
      </c>
      <c r="F52" s="1180">
        <f t="shared" si="16"/>
        <v>45200</v>
      </c>
      <c r="G52" s="1180">
        <f t="shared" si="16"/>
        <v>45170</v>
      </c>
      <c r="H52" s="1180">
        <f t="shared" si="16"/>
        <v>45139</v>
      </c>
      <c r="I52" s="1180">
        <f t="shared" si="16"/>
        <v>45108</v>
      </c>
      <c r="J52" s="1180">
        <f t="shared" si="16"/>
        <v>45078</v>
      </c>
      <c r="K52" s="1180">
        <f t="shared" si="16"/>
        <v>45047</v>
      </c>
      <c r="L52" s="1180">
        <f t="shared" si="16"/>
        <v>45017</v>
      </c>
      <c r="M52" s="1180">
        <f t="shared" si="16"/>
        <v>44986</v>
      </c>
      <c r="N52" s="1180">
        <f t="shared" si="16"/>
        <v>44958</v>
      </c>
      <c r="O52" s="1180">
        <f t="shared" si="16"/>
        <v>44927</v>
      </c>
      <c r="P52" s="455"/>
    </row>
    <row r="53" spans="1:17" s="108" customFormat="1" ht="15">
      <c r="A53" s="457"/>
      <c r="B53" s="458"/>
      <c r="C53" s="1178">
        <v>100</v>
      </c>
      <c r="D53" s="460"/>
      <c r="E53" s="460"/>
      <c r="F53" s="460"/>
      <c r="G53" s="460"/>
      <c r="H53" s="460"/>
      <c r="I53" s="460"/>
      <c r="J53" s="460"/>
      <c r="K53" s="460"/>
      <c r="L53" s="460"/>
      <c r="M53" s="461"/>
      <c r="N53" s="460"/>
      <c r="O53" s="462"/>
      <c r="P53" s="452"/>
    </row>
    <row r="54" spans="1:17" s="108" customFormat="1" ht="15.75" thickBot="1">
      <c r="A54" s="463" t="s">
        <v>1714</v>
      </c>
      <c r="B54" s="464"/>
      <c r="C54" s="465"/>
      <c r="D54" s="466"/>
      <c r="E54" s="466"/>
      <c r="F54" s="466"/>
      <c r="G54" s="466"/>
      <c r="H54" s="466"/>
      <c r="I54" s="466"/>
      <c r="J54" s="466"/>
      <c r="K54" s="466"/>
      <c r="L54" s="466"/>
      <c r="M54" s="467"/>
      <c r="N54" s="2765"/>
      <c r="O54" s="2766"/>
      <c r="P54" s="452"/>
      <c r="Q54" s="452"/>
    </row>
    <row r="55" spans="1:17" s="108" customFormat="1" ht="15">
      <c r="A55" s="469" t="s">
        <v>1679</v>
      </c>
      <c r="B55" s="458"/>
      <c r="C55" s="470" t="s">
        <v>1774</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1717</v>
      </c>
      <c r="B57" s="476" t="s">
        <v>1683</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1686</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1687</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1688</v>
      </c>
      <c r="B70" s="476" t="s">
        <v>1827</v>
      </c>
      <c r="C70" s="521" t="s">
        <v>1719</v>
      </c>
      <c r="D70" s="521" t="s">
        <v>1720</v>
      </c>
      <c r="E70" s="521" t="s">
        <v>1721</v>
      </c>
      <c r="F70" s="521" t="s">
        <v>1722</v>
      </c>
      <c r="G70" s="521" t="s">
        <v>1723</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1724</v>
      </c>
      <c r="C72" s="526" t="s">
        <v>1719</v>
      </c>
      <c r="D72" s="526" t="s">
        <v>1720</v>
      </c>
      <c r="E72" s="526" t="s">
        <v>1721</v>
      </c>
      <c r="F72" s="526" t="s">
        <v>1722</v>
      </c>
      <c r="G72" s="526" t="s">
        <v>1723</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1725</v>
      </c>
      <c r="C74" s="526" t="s">
        <v>1719</v>
      </c>
      <c r="D74" s="526" t="s">
        <v>1720</v>
      </c>
      <c r="E74" s="526" t="s">
        <v>1721</v>
      </c>
      <c r="F74" s="526" t="s">
        <v>1722</v>
      </c>
      <c r="G74" s="526" t="s">
        <v>1723</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1811</v>
      </c>
      <c r="C76" s="607" t="s">
        <v>1797</v>
      </c>
      <c r="D76" s="607" t="s">
        <v>1798</v>
      </c>
      <c r="E76" s="607" t="s">
        <v>1799</v>
      </c>
      <c r="F76" s="607" t="s">
        <v>1800</v>
      </c>
      <c r="G76" s="607" t="s">
        <v>1801</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1820</v>
      </c>
      <c r="C78" s="526" t="s">
        <v>1719</v>
      </c>
      <c r="D78" s="526" t="s">
        <v>1720</v>
      </c>
      <c r="E78" s="526" t="s">
        <v>1721</v>
      </c>
      <c r="F78" s="526" t="s">
        <v>1722</v>
      </c>
      <c r="G78" s="526" t="s">
        <v>1723</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3"/>
      <c r="B87" s="517"/>
      <c r="C87" s="518"/>
      <c r="D87" s="518"/>
      <c r="E87" s="518"/>
      <c r="F87" s="518"/>
      <c r="G87" s="539"/>
      <c r="H87" s="539"/>
      <c r="I87" s="539"/>
      <c r="J87" s="539"/>
      <c r="K87" s="539"/>
      <c r="L87" s="539"/>
      <c r="M87" s="540"/>
      <c r="N87" s="930"/>
      <c r="O87" s="930"/>
      <c r="P87" s="42"/>
      <c r="Q87" s="452"/>
    </row>
    <row r="88" spans="1:17">
      <c r="A88" s="475" t="s">
        <v>1692</v>
      </c>
      <c r="B88" s="476" t="s">
        <v>1734</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1735</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1736</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1738</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1739</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1740</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1742</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1828</v>
      </c>
      <c r="C106" s="526" t="s">
        <v>1719</v>
      </c>
      <c r="D106" s="526" t="s">
        <v>1720</v>
      </c>
      <c r="E106" s="526" t="s">
        <v>1721</v>
      </c>
      <c r="F106" s="526" t="s">
        <v>1722</v>
      </c>
      <c r="G106" s="526" t="s">
        <v>1723</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3"/>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1829</v>
      </c>
      <c r="B1" s="1218" t="s">
        <v>3334</v>
      </c>
      <c r="C1" s="1219" t="s">
        <v>1660</v>
      </c>
      <c r="D1" s="1220"/>
      <c r="E1" s="3428"/>
      <c r="F1" s="1874"/>
      <c r="G1" s="1222" t="s">
        <v>1765</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1" customFormat="1" ht="28.5" customHeight="1" thickTop="1">
      <c r="A2" s="1216"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1461</v>
      </c>
      <c r="F2" s="1878"/>
      <c r="G2" s="904"/>
      <c r="H2" s="904"/>
      <c r="I2" s="904"/>
      <c r="J2" s="904"/>
      <c r="K2" s="906"/>
      <c r="L2" s="2729"/>
      <c r="M2" s="2730"/>
      <c r="N2" s="2730"/>
      <c r="O2" s="2730"/>
      <c r="P2" s="1161"/>
      <c r="Q2" s="697"/>
      <c r="R2" s="697"/>
      <c r="S2" s="697"/>
      <c r="T2" s="697"/>
      <c r="U2" s="697"/>
      <c r="V2" s="697"/>
      <c r="W2" s="697"/>
      <c r="X2" s="697"/>
      <c r="Y2" s="697"/>
      <c r="Z2" s="697"/>
      <c r="AA2" s="697"/>
      <c r="AB2" s="697"/>
      <c r="AC2" s="698"/>
    </row>
    <row r="3" spans="1:29" s="351" customFormat="1" ht="28.5" customHeight="1" thickBot="1">
      <c r="A3" s="202" t="s">
        <v>1462</v>
      </c>
      <c r="B3" s="557" t="e">
        <f>IF(AND(C2="——",B37="元/平方米"),C39,ROUND(B2*10000/D3,0))</f>
        <v>#DIV/0!</v>
      </c>
      <c r="C3" s="353" t="s">
        <v>1766</v>
      </c>
      <c r="D3" s="352">
        <f>SUMIF('数据-汇总表'!$C19:$C33,D1,'数据-汇总表'!$E19:$E33)</f>
        <v>0</v>
      </c>
      <c r="E3" s="353" t="s">
        <v>1830</v>
      </c>
      <c r="F3" s="352">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7"/>
      <c r="R3" s="697"/>
      <c r="S3" s="697"/>
      <c r="T3" s="697"/>
      <c r="U3" s="697"/>
      <c r="V3" s="697"/>
      <c r="W3" s="697"/>
      <c r="X3" s="697"/>
      <c r="Y3" s="697"/>
      <c r="Z3" s="697"/>
      <c r="AA3" s="697"/>
      <c r="AB3" s="714"/>
      <c r="AC3" s="711"/>
    </row>
    <row r="4" spans="1:29" ht="15">
      <c r="A4" s="354" t="s">
        <v>1767</v>
      </c>
      <c r="B4" s="355"/>
      <c r="C4" s="3720" t="s">
        <v>1768</v>
      </c>
      <c r="D4" s="3721"/>
      <c r="E4" s="3722" t="s">
        <v>1769</v>
      </c>
      <c r="F4" s="3723"/>
      <c r="G4" s="3720" t="s">
        <v>1770</v>
      </c>
      <c r="H4" s="3721"/>
      <c r="I4" s="3720" t="s">
        <v>1771</v>
      </c>
      <c r="J4" s="3721"/>
      <c r="K4" s="558" t="s">
        <v>1772</v>
      </c>
      <c r="L4" s="2710"/>
      <c r="M4" s="2711"/>
      <c r="N4" s="2711"/>
      <c r="O4" s="2711"/>
      <c r="P4" s="3724" t="s">
        <v>1773</v>
      </c>
      <c r="Q4" s="3725"/>
      <c r="R4" s="3730" t="s">
        <v>1769</v>
      </c>
      <c r="S4" s="3731"/>
      <c r="T4" s="3730" t="s">
        <v>1770</v>
      </c>
      <c r="U4" s="3731"/>
      <c r="V4" s="3736" t="s">
        <v>1771</v>
      </c>
      <c r="W4" s="3736"/>
      <c r="X4" s="1350"/>
      <c r="Y4" s="3730" t="s">
        <v>1773</v>
      </c>
      <c r="Z4" s="3731"/>
      <c r="AA4" s="3717" t="s">
        <v>1769</v>
      </c>
      <c r="AB4" s="3718" t="s">
        <v>1770</v>
      </c>
      <c r="AC4" s="3717" t="s">
        <v>1771</v>
      </c>
    </row>
    <row r="5" spans="1:29" ht="15">
      <c r="A5" s="357"/>
      <c r="B5" s="358"/>
      <c r="C5" s="3739" t="s">
        <v>1671</v>
      </c>
      <c r="D5" s="3740"/>
      <c r="E5" s="3746" t="s">
        <v>1672</v>
      </c>
      <c r="F5" s="3747"/>
      <c r="G5" s="3739" t="s">
        <v>1673</v>
      </c>
      <c r="H5" s="3740"/>
      <c r="I5" s="3739" t="s">
        <v>1674</v>
      </c>
      <c r="J5" s="3740"/>
      <c r="K5" s="558"/>
      <c r="L5" s="2710"/>
      <c r="M5" s="2711"/>
      <c r="N5" s="2711"/>
      <c r="O5" s="2711"/>
      <c r="P5" s="3726"/>
      <c r="Q5" s="3727"/>
      <c r="R5" s="3732"/>
      <c r="S5" s="3733"/>
      <c r="T5" s="3732"/>
      <c r="U5" s="3733"/>
      <c r="V5" s="3736"/>
      <c r="W5" s="3736"/>
      <c r="X5" s="1350"/>
      <c r="Y5" s="3732"/>
      <c r="Z5" s="3733"/>
      <c r="AA5" s="3718"/>
      <c r="AB5" s="3718"/>
      <c r="AC5" s="3718"/>
    </row>
    <row r="6" spans="1:29" ht="15.75" thickBot="1">
      <c r="A6" s="359"/>
      <c r="B6" s="360"/>
      <c r="C6" s="3737" t="s">
        <v>1675</v>
      </c>
      <c r="D6" s="3738"/>
      <c r="E6" s="3744" t="s">
        <v>1675</v>
      </c>
      <c r="F6" s="3745"/>
      <c r="G6" s="3737" t="s">
        <v>1675</v>
      </c>
      <c r="H6" s="3738"/>
      <c r="I6" s="3737" t="s">
        <v>1675</v>
      </c>
      <c r="J6" s="3738"/>
      <c r="K6" s="558" t="s">
        <v>1676</v>
      </c>
      <c r="L6" s="2710"/>
      <c r="M6" s="2711"/>
      <c r="N6" s="2711"/>
      <c r="O6" s="2711"/>
      <c r="P6" s="3728"/>
      <c r="Q6" s="3729"/>
      <c r="R6" s="3732"/>
      <c r="S6" s="3733"/>
      <c r="T6" s="3734"/>
      <c r="U6" s="3735"/>
      <c r="V6" s="3736"/>
      <c r="W6" s="3736"/>
      <c r="X6" s="1350"/>
      <c r="Y6" s="3734"/>
      <c r="Z6" s="3735"/>
      <c r="AA6" s="3719"/>
      <c r="AB6" s="3719"/>
      <c r="AC6" s="3719"/>
    </row>
    <row r="7" spans="1:29" s="108" customFormat="1" ht="15.75" thickBot="1">
      <c r="A7" s="361" t="s">
        <v>1677</v>
      </c>
      <c r="B7" s="362"/>
      <c r="C7" s="363">
        <f>'数据-取费表'!B2</f>
        <v>45322</v>
      </c>
      <c r="D7" s="364">
        <v>100</v>
      </c>
      <c r="E7" s="365"/>
      <c r="F7" s="366">
        <f>SUMIF(48:48,YEAR(E7)&amp;"-"&amp;MONTH(E7),49:49)</f>
        <v>0</v>
      </c>
      <c r="G7" s="365"/>
      <c r="H7" s="364">
        <f>SUMIF(48:48,YEAR(G7)&amp;"-"&amp;MONTH(G7),49:49)</f>
        <v>0</v>
      </c>
      <c r="I7" s="365"/>
      <c r="J7" s="364">
        <f>SUMIF(48:48,YEAR(I7)&amp;"-"&amp;MONTH(I7),49:49)</f>
        <v>0</v>
      </c>
      <c r="K7" s="559"/>
      <c r="L7" s="2712"/>
      <c r="M7" s="2713"/>
      <c r="N7" s="2713"/>
      <c r="O7" s="2713"/>
      <c r="P7" s="3741" t="s">
        <v>1678</v>
      </c>
      <c r="Q7" s="3743"/>
      <c r="R7" s="699" t="s">
        <v>14</v>
      </c>
      <c r="S7" s="700">
        <f t="shared" ref="S7:S14" si="0">F7</f>
        <v>0</v>
      </c>
      <c r="T7" s="699" t="s">
        <v>14</v>
      </c>
      <c r="U7" s="700">
        <f t="shared" ref="U7:U14" si="1">H7</f>
        <v>0</v>
      </c>
      <c r="V7" s="699" t="s">
        <v>14</v>
      </c>
      <c r="W7" s="700">
        <f t="shared" ref="W7:W14" si="2">J7</f>
        <v>0</v>
      </c>
      <c r="X7" s="701"/>
      <c r="Y7" s="3741" t="s">
        <v>1678</v>
      </c>
      <c r="Z7" s="3742"/>
      <c r="AA7" s="702" t="e">
        <f>D7/F7</f>
        <v>#DIV/0!</v>
      </c>
      <c r="AB7" s="702" t="e">
        <f>D7/H7</f>
        <v>#DIV/0!</v>
      </c>
      <c r="AC7" s="702" t="e">
        <f>D7/J7</f>
        <v>#DIV/0!</v>
      </c>
    </row>
    <row r="8" spans="1:29" s="108" customFormat="1" ht="15.75" thickBot="1">
      <c r="A8" s="361" t="s">
        <v>1679</v>
      </c>
      <c r="B8" s="362"/>
      <c r="C8" s="367"/>
      <c r="D8" s="364">
        <v>100</v>
      </c>
      <c r="E8" s="367"/>
      <c r="F8" s="366">
        <f>SUMIF(51:51,E8,52:52)-SUMIF(51:51,C8,52:52)+100</f>
        <v>100</v>
      </c>
      <c r="G8" s="367"/>
      <c r="H8" s="364">
        <f>SUMIF(51:51,G8,52:52)-SUMIF(51:51,C8,52:52)+100</f>
        <v>100</v>
      </c>
      <c r="I8" s="367"/>
      <c r="J8" s="364">
        <f>SUMIF(51:51,I8,52:52)-SUMIF(51:51,C8,52:52)+100</f>
        <v>100</v>
      </c>
      <c r="K8" s="559"/>
      <c r="L8" s="2712"/>
      <c r="M8" s="2713"/>
      <c r="N8" s="2713"/>
      <c r="O8" s="2713"/>
      <c r="P8" s="3741" t="s">
        <v>1681</v>
      </c>
      <c r="Q8" s="3742"/>
      <c r="R8" s="699" t="s">
        <v>14</v>
      </c>
      <c r="S8" s="700">
        <f t="shared" si="0"/>
        <v>100</v>
      </c>
      <c r="T8" s="699" t="s">
        <v>14</v>
      </c>
      <c r="U8" s="700">
        <f t="shared" si="1"/>
        <v>100</v>
      </c>
      <c r="V8" s="699" t="s">
        <v>14</v>
      </c>
      <c r="W8" s="700">
        <f t="shared" si="2"/>
        <v>100</v>
      </c>
      <c r="X8" s="701"/>
      <c r="Y8" s="3741" t="s">
        <v>1681</v>
      </c>
      <c r="Z8" s="3742"/>
      <c r="AA8" s="702">
        <f t="shared" ref="AA8:AA36" si="3">D8/F8</f>
        <v>1</v>
      </c>
      <c r="AB8" s="702">
        <f t="shared" ref="AB8:AB36" si="4">D8/H8</f>
        <v>1</v>
      </c>
      <c r="AC8" s="702">
        <f t="shared" ref="AC8:AC36" si="5">D8/J8</f>
        <v>1</v>
      </c>
    </row>
    <row r="9" spans="1:29" s="108" customFormat="1">
      <c r="A9" s="60" t="s">
        <v>1682</v>
      </c>
      <c r="B9" s="587" t="s">
        <v>1683</v>
      </c>
      <c r="C9" s="369"/>
      <c r="D9" s="125">
        <v>100</v>
      </c>
      <c r="E9" s="372"/>
      <c r="F9" s="125">
        <f>SUMIF(53:53,E9,54:54)-SUMIF(53:53,C9,54:54)+100</f>
        <v>100</v>
      </c>
      <c r="G9" s="370"/>
      <c r="H9" s="125">
        <f>SUMIF(53:53,G9,54:54)-SUMIF(53:53,C9,54:54)+100</f>
        <v>100</v>
      </c>
      <c r="I9" s="370"/>
      <c r="J9" s="125">
        <f>SUMIF(53:53,I9,54:54)-SUMIF(53:53,C9,54:54)+100</f>
        <v>100</v>
      </c>
      <c r="K9" s="559"/>
      <c r="L9" s="2712"/>
      <c r="M9" s="2713"/>
      <c r="N9" s="2713"/>
      <c r="O9" s="2713"/>
      <c r="P9" s="3705" t="s">
        <v>1684</v>
      </c>
      <c r="Q9" s="1338" t="str">
        <f t="shared" ref="Q9:Q14" si="6">B9</f>
        <v>用途</v>
      </c>
      <c r="R9" s="699" t="s">
        <v>14</v>
      </c>
      <c r="S9" s="700">
        <f t="shared" si="0"/>
        <v>100</v>
      </c>
      <c r="T9" s="699" t="s">
        <v>14</v>
      </c>
      <c r="U9" s="700">
        <f t="shared" si="1"/>
        <v>100</v>
      </c>
      <c r="V9" s="699" t="s">
        <v>14</v>
      </c>
      <c r="W9" s="700">
        <f t="shared" si="2"/>
        <v>100</v>
      </c>
      <c r="X9" s="701"/>
      <c r="Y9" s="3579" t="s">
        <v>1685</v>
      </c>
      <c r="Z9" s="52" t="str">
        <f t="shared" ref="Z9:Z14" si="7">Q9</f>
        <v>用途</v>
      </c>
      <c r="AA9" s="702">
        <f t="shared" si="3"/>
        <v>1</v>
      </c>
      <c r="AB9" s="702">
        <f t="shared" si="4"/>
        <v>1</v>
      </c>
      <c r="AC9" s="702">
        <f t="shared" si="5"/>
        <v>1</v>
      </c>
    </row>
    <row r="10" spans="1:29" s="377" customFormat="1" ht="27">
      <c r="A10" s="588"/>
      <c r="B10" s="589" t="s">
        <v>1686</v>
      </c>
      <c r="C10" s="3429"/>
      <c r="D10" s="126">
        <v>100</v>
      </c>
      <c r="E10" s="3429"/>
      <c r="F10" s="126">
        <f>SUMIF(55:55,E10,56:56)-SUMIF(55:55,C10,56:56)+100</f>
        <v>100</v>
      </c>
      <c r="G10" s="3430"/>
      <c r="H10" s="126">
        <f>SUMIF(55:55,G10,56:56)-SUMIF(55:55,C10,56:56)+100</f>
        <v>100</v>
      </c>
      <c r="I10" s="3429"/>
      <c r="J10" s="126">
        <f>SUMIF(55:55,I10,56:56)-SUMIF(55:55,C10,56:56)+100</f>
        <v>100</v>
      </c>
      <c r="K10" s="559"/>
      <c r="L10" s="2714"/>
      <c r="M10" s="2715"/>
      <c r="N10" s="2715"/>
      <c r="O10" s="2715"/>
      <c r="P10" s="3705"/>
      <c r="Q10" s="1338" t="str">
        <f t="shared" si="6"/>
        <v>土地使用年限（年）</v>
      </c>
      <c r="R10" s="699" t="s">
        <v>14</v>
      </c>
      <c r="S10" s="700">
        <f t="shared" si="0"/>
        <v>100</v>
      </c>
      <c r="T10" s="699" t="s">
        <v>14</v>
      </c>
      <c r="U10" s="700">
        <f t="shared" si="1"/>
        <v>100</v>
      </c>
      <c r="V10" s="699" t="s">
        <v>14</v>
      </c>
      <c r="W10" s="700">
        <f t="shared" si="2"/>
        <v>100</v>
      </c>
      <c r="X10" s="701"/>
      <c r="Y10" s="3579"/>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6"/>
      <c r="M11" s="2711"/>
      <c r="N11" s="2711"/>
      <c r="O11" s="2711"/>
      <c r="P11" s="3705"/>
      <c r="Q11" s="1338">
        <f t="shared" si="6"/>
        <v>111</v>
      </c>
      <c r="R11" s="699" t="s">
        <v>14</v>
      </c>
      <c r="S11" s="700">
        <f t="shared" si="0"/>
        <v>100</v>
      </c>
      <c r="T11" s="699" t="s">
        <v>14</v>
      </c>
      <c r="U11" s="700">
        <f t="shared" si="1"/>
        <v>100</v>
      </c>
      <c r="V11" s="699" t="s">
        <v>14</v>
      </c>
      <c r="W11" s="700">
        <f t="shared" si="2"/>
        <v>100</v>
      </c>
      <c r="X11" s="701"/>
      <c r="Y11" s="3579"/>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2"/>
      <c r="M12" s="2713"/>
      <c r="N12" s="2713"/>
      <c r="O12" s="2713"/>
      <c r="P12" s="3705"/>
      <c r="Q12" s="1338">
        <f t="shared" si="6"/>
        <v>111</v>
      </c>
      <c r="R12" s="699" t="s">
        <v>14</v>
      </c>
      <c r="S12" s="700">
        <f t="shared" si="0"/>
        <v>100</v>
      </c>
      <c r="T12" s="699" t="s">
        <v>14</v>
      </c>
      <c r="U12" s="700">
        <f t="shared" si="1"/>
        <v>100</v>
      </c>
      <c r="V12" s="699" t="s">
        <v>14</v>
      </c>
      <c r="W12" s="700">
        <f t="shared" si="2"/>
        <v>100</v>
      </c>
      <c r="X12" s="701"/>
      <c r="Y12" s="3579"/>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7"/>
      <c r="M13" s="2711"/>
      <c r="N13" s="2711"/>
      <c r="O13" s="2711"/>
      <c r="P13" s="3705"/>
      <c r="Q13" s="1338">
        <f t="shared" si="6"/>
        <v>111</v>
      </c>
      <c r="R13" s="699" t="s">
        <v>14</v>
      </c>
      <c r="S13" s="700">
        <f t="shared" si="0"/>
        <v>100</v>
      </c>
      <c r="T13" s="699" t="s">
        <v>14</v>
      </c>
      <c r="U13" s="700">
        <f t="shared" si="1"/>
        <v>100</v>
      </c>
      <c r="V13" s="699" t="s">
        <v>14</v>
      </c>
      <c r="W13" s="700">
        <f t="shared" si="2"/>
        <v>100</v>
      </c>
      <c r="X13" s="701"/>
      <c r="Y13" s="3579"/>
      <c r="Z13" s="52">
        <f t="shared" si="7"/>
        <v>111</v>
      </c>
      <c r="AA13" s="702">
        <f t="shared" si="3"/>
        <v>1</v>
      </c>
      <c r="AB13" s="702">
        <f t="shared" si="4"/>
        <v>1</v>
      </c>
      <c r="AC13" s="702">
        <f t="shared" si="5"/>
        <v>1</v>
      </c>
    </row>
    <row r="14" spans="1:29" ht="85.5">
      <c r="A14" s="354" t="s">
        <v>1688</v>
      </c>
      <c r="B14" s="576" t="s">
        <v>1831</v>
      </c>
      <c r="C14" s="1966"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7"/>
      <c r="M14" s="2711"/>
      <c r="N14" s="2711"/>
      <c r="O14" s="2711"/>
      <c r="P14" s="3707" t="s">
        <v>1689</v>
      </c>
      <c r="Q14" s="1347" t="str">
        <f t="shared" si="6"/>
        <v>交通便捷度</v>
      </c>
      <c r="R14" s="703" t="s">
        <v>14</v>
      </c>
      <c r="S14" s="704">
        <f t="shared" si="0"/>
        <v>100</v>
      </c>
      <c r="T14" s="703" t="s">
        <v>14</v>
      </c>
      <c r="U14" s="704">
        <f t="shared" si="1"/>
        <v>100</v>
      </c>
      <c r="V14" s="703" t="s">
        <v>14</v>
      </c>
      <c r="W14" s="704">
        <f t="shared" si="2"/>
        <v>100</v>
      </c>
      <c r="X14" s="1350"/>
      <c r="Y14" s="3707" t="s">
        <v>1689</v>
      </c>
      <c r="Z14" s="1351" t="str">
        <f t="shared" si="7"/>
        <v>交通便捷度</v>
      </c>
      <c r="AA14" s="1348">
        <f t="shared" si="3"/>
        <v>1</v>
      </c>
      <c r="AB14" s="1348">
        <f t="shared" si="4"/>
        <v>1</v>
      </c>
      <c r="AC14" s="1348">
        <f t="shared" si="5"/>
        <v>1</v>
      </c>
    </row>
    <row r="15" spans="1:29" ht="15">
      <c r="A15" s="357"/>
      <c r="B15" s="594"/>
      <c r="C15" s="397"/>
      <c r="D15" s="398"/>
      <c r="E15" s="397"/>
      <c r="F15" s="399"/>
      <c r="G15" s="397"/>
      <c r="H15" s="400"/>
      <c r="I15" s="397"/>
      <c r="J15" s="398"/>
      <c r="K15" s="563"/>
      <c r="L15" s="2717"/>
      <c r="M15" s="2711"/>
      <c r="N15" s="2711"/>
      <c r="O15" s="2711"/>
      <c r="P15" s="3708"/>
      <c r="Q15" s="1347"/>
      <c r="R15" s="703"/>
      <c r="S15" s="704"/>
      <c r="T15" s="703"/>
      <c r="U15" s="704"/>
      <c r="V15" s="703"/>
      <c r="W15" s="704"/>
      <c r="X15" s="1350"/>
      <c r="Y15" s="3708"/>
      <c r="Z15" s="1351"/>
      <c r="AA15" s="1348">
        <v>1</v>
      </c>
      <c r="AB15" s="1348">
        <v>1</v>
      </c>
      <c r="AC15" s="1348">
        <v>1</v>
      </c>
    </row>
    <row r="16" spans="1:29" ht="42.75">
      <c r="A16" s="357"/>
      <c r="B16" s="578" t="s">
        <v>1810</v>
      </c>
      <c r="C16" s="1895"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7"/>
      <c r="M16" s="2711"/>
      <c r="N16" s="2711"/>
      <c r="O16" s="2711"/>
      <c r="P16" s="3708"/>
      <c r="Q16" s="1347" t="str">
        <f>B16</f>
        <v>公共配套设施</v>
      </c>
      <c r="R16" s="703" t="s">
        <v>14</v>
      </c>
      <c r="S16" s="704">
        <f>F16</f>
        <v>100</v>
      </c>
      <c r="T16" s="703" t="s">
        <v>14</v>
      </c>
      <c r="U16" s="704">
        <f>H16</f>
        <v>100</v>
      </c>
      <c r="V16" s="703" t="s">
        <v>14</v>
      </c>
      <c r="W16" s="704">
        <f>J16</f>
        <v>100</v>
      </c>
      <c r="X16" s="1350"/>
      <c r="Y16" s="3708"/>
      <c r="Z16" s="1351" t="str">
        <f>Q16</f>
        <v>公共配套设施</v>
      </c>
      <c r="AA16" s="1348">
        <f t="shared" si="3"/>
        <v>1</v>
      </c>
      <c r="AB16" s="1348">
        <f t="shared" si="4"/>
        <v>1</v>
      </c>
      <c r="AC16" s="1348">
        <f t="shared" si="5"/>
        <v>1</v>
      </c>
    </row>
    <row r="17" spans="1:29" ht="15">
      <c r="A17" s="357"/>
      <c r="B17" s="579"/>
      <c r="C17" s="1896"/>
      <c r="D17" s="398"/>
      <c r="E17" s="397"/>
      <c r="F17" s="399"/>
      <c r="G17" s="397"/>
      <c r="H17" s="398"/>
      <c r="I17" s="397"/>
      <c r="J17" s="398"/>
      <c r="K17" s="563"/>
      <c r="L17" s="2717"/>
      <c r="M17" s="2711"/>
      <c r="N17" s="2711"/>
      <c r="O17" s="2711"/>
      <c r="P17" s="3708"/>
      <c r="Q17" s="1347"/>
      <c r="R17" s="703"/>
      <c r="S17" s="704"/>
      <c r="T17" s="703"/>
      <c r="U17" s="704"/>
      <c r="V17" s="703"/>
      <c r="W17" s="704"/>
      <c r="X17" s="1350"/>
      <c r="Y17" s="3708"/>
      <c r="Z17" s="1351"/>
      <c r="AA17" s="1348">
        <v>1</v>
      </c>
      <c r="AB17" s="1348">
        <v>1</v>
      </c>
      <c r="AC17" s="1348">
        <v>1</v>
      </c>
    </row>
    <row r="18" spans="1:29" ht="28.5">
      <c r="A18" s="357"/>
      <c r="B18" s="580" t="s">
        <v>1811</v>
      </c>
      <c r="C18" s="1895"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7"/>
      <c r="M18" s="2711"/>
      <c r="N18" s="2711"/>
      <c r="O18" s="2711"/>
      <c r="P18" s="3708"/>
      <c r="Q18" s="1347" t="str">
        <f>B18</f>
        <v>基础设施水平</v>
      </c>
      <c r="R18" s="703" t="s">
        <v>14</v>
      </c>
      <c r="S18" s="704">
        <f>F18</f>
        <v>100</v>
      </c>
      <c r="T18" s="703" t="s">
        <v>14</v>
      </c>
      <c r="U18" s="704">
        <f>H18</f>
        <v>100</v>
      </c>
      <c r="V18" s="703" t="s">
        <v>14</v>
      </c>
      <c r="W18" s="704">
        <f>J18</f>
        <v>100</v>
      </c>
      <c r="X18" s="1350"/>
      <c r="Y18" s="3708"/>
      <c r="Z18" s="1351" t="str">
        <f>Q18</f>
        <v>基础设施水平</v>
      </c>
      <c r="AA18" s="1348">
        <f t="shared" ref="AA18" si="8">D18/F18</f>
        <v>1</v>
      </c>
      <c r="AB18" s="1348">
        <f t="shared" ref="AB18" si="9">D18/H18</f>
        <v>1</v>
      </c>
      <c r="AC18" s="1348">
        <f t="shared" ref="AC18" si="10">D18/J18</f>
        <v>1</v>
      </c>
    </row>
    <row r="19" spans="1:29" ht="15">
      <c r="A19" s="357"/>
      <c r="B19" s="580"/>
      <c r="C19" s="1896"/>
      <c r="D19" s="400"/>
      <c r="E19" s="1896"/>
      <c r="F19" s="403"/>
      <c r="G19" s="1896"/>
      <c r="H19" s="398"/>
      <c r="I19" s="397"/>
      <c r="J19" s="398"/>
      <c r="K19" s="1126"/>
      <c r="L19" s="2717"/>
      <c r="M19" s="2711"/>
      <c r="N19" s="2711"/>
      <c r="O19" s="2711"/>
      <c r="P19" s="3708"/>
      <c r="Q19" s="1347"/>
      <c r="R19" s="703"/>
      <c r="S19" s="704"/>
      <c r="T19" s="703"/>
      <c r="U19" s="704"/>
      <c r="V19" s="703"/>
      <c r="W19" s="704"/>
      <c r="X19" s="1350"/>
      <c r="Y19" s="3708"/>
      <c r="Z19" s="1351"/>
      <c r="AA19" s="1348">
        <v>1</v>
      </c>
      <c r="AB19" s="1348">
        <v>1</v>
      </c>
      <c r="AC19" s="1348">
        <v>1</v>
      </c>
    </row>
    <row r="20" spans="1:29" ht="57">
      <c r="A20" s="357"/>
      <c r="B20" s="578" t="s">
        <v>1832</v>
      </c>
      <c r="C20" s="1895"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7"/>
      <c r="M20" s="2711"/>
      <c r="N20" s="2711"/>
      <c r="O20" s="2711"/>
      <c r="P20" s="3708"/>
      <c r="Q20" s="1347" t="str">
        <f>B20</f>
        <v>自然及人文环境</v>
      </c>
      <c r="R20" s="703" t="s">
        <v>14</v>
      </c>
      <c r="S20" s="704">
        <f>F20</f>
        <v>100</v>
      </c>
      <c r="T20" s="703" t="s">
        <v>14</v>
      </c>
      <c r="U20" s="704">
        <f>H20</f>
        <v>100</v>
      </c>
      <c r="V20" s="703" t="s">
        <v>14</v>
      </c>
      <c r="W20" s="704">
        <f>J20</f>
        <v>100</v>
      </c>
      <c r="X20" s="1350"/>
      <c r="Y20" s="3708"/>
      <c r="Z20" s="1351" t="str">
        <f>Q20</f>
        <v>自然及人文环境</v>
      </c>
      <c r="AA20" s="1348">
        <f t="shared" si="3"/>
        <v>1</v>
      </c>
      <c r="AB20" s="1348">
        <f t="shared" si="4"/>
        <v>1</v>
      </c>
      <c r="AC20" s="1348">
        <f t="shared" si="5"/>
        <v>1</v>
      </c>
    </row>
    <row r="21" spans="1:29" ht="15">
      <c r="A21" s="357"/>
      <c r="B21" s="579"/>
      <c r="C21" s="397"/>
      <c r="D21" s="398"/>
      <c r="E21" s="397"/>
      <c r="F21" s="399"/>
      <c r="G21" s="397"/>
      <c r="H21" s="398"/>
      <c r="I21" s="397"/>
      <c r="J21" s="398"/>
      <c r="K21" s="563"/>
      <c r="L21" s="2717"/>
      <c r="M21" s="2711"/>
      <c r="N21" s="2711"/>
      <c r="O21" s="2711"/>
      <c r="P21" s="3708"/>
      <c r="Q21" s="1347"/>
      <c r="R21" s="703"/>
      <c r="S21" s="704"/>
      <c r="T21" s="703"/>
      <c r="U21" s="704"/>
      <c r="V21" s="703"/>
      <c r="W21" s="704"/>
      <c r="X21" s="1350"/>
      <c r="Y21" s="3708"/>
      <c r="Z21" s="1351"/>
      <c r="AA21" s="1348">
        <v>1</v>
      </c>
      <c r="AB21" s="1348">
        <v>1</v>
      </c>
      <c r="AC21" s="1348">
        <v>1</v>
      </c>
    </row>
    <row r="22" spans="1:29" ht="15">
      <c r="A22" s="357"/>
      <c r="B22" s="578" t="s">
        <v>1833</v>
      </c>
      <c r="C22" s="564"/>
      <c r="D22" s="400">
        <v>100</v>
      </c>
      <c r="E22" s="564"/>
      <c r="F22" s="411">
        <f>SUMIF(71:71,E22,72:72)-SUMIF(71:71,C22,72:72)+100</f>
        <v>100</v>
      </c>
      <c r="G22" s="564"/>
      <c r="H22" s="385">
        <f>SUMIF(71:71,G22,72:72)-SUMIF(71:71,C22,72:72)+100</f>
        <v>100</v>
      </c>
      <c r="I22" s="564"/>
      <c r="J22" s="385">
        <f>SUMIF(71:71,I22,72:72)-SUMIF(71:71,C22,72:72)+100</f>
        <v>100</v>
      </c>
      <c r="K22" s="560"/>
      <c r="L22" s="2717"/>
      <c r="M22" s="2711"/>
      <c r="N22" s="2711"/>
      <c r="O22" s="2711"/>
      <c r="P22" s="3708"/>
      <c r="Q22" s="1347" t="str">
        <f>B22</f>
        <v>楼层</v>
      </c>
      <c r="R22" s="703" t="s">
        <v>14</v>
      </c>
      <c r="S22" s="704">
        <f>F22</f>
        <v>100</v>
      </c>
      <c r="T22" s="703" t="s">
        <v>14</v>
      </c>
      <c r="U22" s="704">
        <f>H22</f>
        <v>100</v>
      </c>
      <c r="V22" s="703" t="s">
        <v>14</v>
      </c>
      <c r="W22" s="704">
        <f>J22</f>
        <v>100</v>
      </c>
      <c r="X22" s="1350"/>
      <c r="Y22" s="3708"/>
      <c r="Z22" s="1351" t="str">
        <f>Q22</f>
        <v>楼层</v>
      </c>
      <c r="AA22" s="1348">
        <f t="shared" si="3"/>
        <v>1</v>
      </c>
      <c r="AB22" s="1348">
        <f t="shared" si="4"/>
        <v>1</v>
      </c>
      <c r="AC22" s="1348">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7"/>
      <c r="M23" s="2711"/>
      <c r="N23" s="2711"/>
      <c r="O23" s="2711"/>
      <c r="P23" s="3708"/>
      <c r="Q23" s="1347">
        <f>B23</f>
        <v>111</v>
      </c>
      <c r="R23" s="703" t="s">
        <v>14</v>
      </c>
      <c r="S23" s="704">
        <f>F23</f>
        <v>100</v>
      </c>
      <c r="T23" s="703" t="s">
        <v>14</v>
      </c>
      <c r="U23" s="704">
        <f>H23</f>
        <v>100</v>
      </c>
      <c r="V23" s="703" t="s">
        <v>14</v>
      </c>
      <c r="W23" s="704">
        <f>J23</f>
        <v>100</v>
      </c>
      <c r="X23" s="1350"/>
      <c r="Y23" s="3708"/>
      <c r="Z23" s="1351">
        <f>Q23</f>
        <v>111</v>
      </c>
      <c r="AA23" s="1348">
        <f t="shared" si="3"/>
        <v>1</v>
      </c>
      <c r="AB23" s="1348">
        <f t="shared" si="4"/>
        <v>1</v>
      </c>
      <c r="AC23" s="1348">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7"/>
      <c r="M24" s="2711"/>
      <c r="N24" s="2711"/>
      <c r="O24" s="2711"/>
      <c r="P24" s="3708"/>
      <c r="Q24" s="1347">
        <f t="shared" ref="Q24:Q36" si="11">B24</f>
        <v>111</v>
      </c>
      <c r="R24" s="703" t="s">
        <v>14</v>
      </c>
      <c r="S24" s="704">
        <f>F24</f>
        <v>100</v>
      </c>
      <c r="T24" s="703" t="s">
        <v>14</v>
      </c>
      <c r="U24" s="704">
        <f>H24</f>
        <v>100</v>
      </c>
      <c r="V24" s="703" t="s">
        <v>14</v>
      </c>
      <c r="W24" s="704">
        <f>J24</f>
        <v>100</v>
      </c>
      <c r="X24" s="1350"/>
      <c r="Y24" s="3708"/>
      <c r="Z24" s="1351">
        <f>Q24</f>
        <v>111</v>
      </c>
      <c r="AA24" s="1348">
        <f t="shared" si="3"/>
        <v>1</v>
      </c>
      <c r="AB24" s="1348">
        <f t="shared" si="4"/>
        <v>1</v>
      </c>
      <c r="AC24" s="1348">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2"/>
      <c r="M25" s="2713"/>
      <c r="N25" s="2713"/>
      <c r="O25" s="2713"/>
      <c r="P25" s="3708"/>
      <c r="Q25" s="1338">
        <f t="shared" si="11"/>
        <v>111</v>
      </c>
      <c r="R25" s="699" t="s">
        <v>14</v>
      </c>
      <c r="S25" s="700">
        <f>F25</f>
        <v>100</v>
      </c>
      <c r="T25" s="699" t="s">
        <v>14</v>
      </c>
      <c r="U25" s="700">
        <f>H25</f>
        <v>100</v>
      </c>
      <c r="V25" s="699" t="s">
        <v>14</v>
      </c>
      <c r="W25" s="700">
        <f>J25</f>
        <v>100</v>
      </c>
      <c r="X25" s="701"/>
      <c r="Y25" s="3708"/>
      <c r="Z25" s="52">
        <f>Q25</f>
        <v>111</v>
      </c>
      <c r="AA25" s="1348">
        <f>D25/F25</f>
        <v>1</v>
      </c>
      <c r="AB25" s="1348">
        <f>D25/H25</f>
        <v>1</v>
      </c>
      <c r="AC25" s="1348">
        <f>D25/J25</f>
        <v>1</v>
      </c>
    </row>
    <row r="26" spans="1:29" ht="28.5">
      <c r="A26" s="599" t="s">
        <v>1692</v>
      </c>
      <c r="B26" s="62" t="s">
        <v>1834</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7"/>
      <c r="M26" s="2711"/>
      <c r="N26" s="2711"/>
      <c r="O26" s="2711"/>
      <c r="P26" s="3763" t="s">
        <v>1694</v>
      </c>
      <c r="Q26" s="1347" t="str">
        <f t="shared" si="11"/>
        <v>配套类型</v>
      </c>
      <c r="R26" s="703" t="s">
        <v>14</v>
      </c>
      <c r="S26" s="704">
        <f t="shared" ref="S26:S36" si="12">F26</f>
        <v>0</v>
      </c>
      <c r="T26" s="703" t="s">
        <v>14</v>
      </c>
      <c r="U26" s="704">
        <f t="shared" ref="U26:U36" si="13">H26</f>
        <v>0</v>
      </c>
      <c r="V26" s="703" t="s">
        <v>14</v>
      </c>
      <c r="W26" s="704">
        <f t="shared" ref="W26:W36" si="14">J26</f>
        <v>0</v>
      </c>
      <c r="X26" s="1350"/>
      <c r="Y26" s="3712" t="s">
        <v>1694</v>
      </c>
      <c r="Z26" s="1351" t="str">
        <f t="shared" ref="Z26:Z36" si="15">Q26</f>
        <v>配套类型</v>
      </c>
      <c r="AA26" s="1348" t="e">
        <f t="shared" si="3"/>
        <v>#DIV/0!</v>
      </c>
      <c r="AB26" s="1348" t="e">
        <f t="shared" si="4"/>
        <v>#DIV/0!</v>
      </c>
      <c r="AC26" s="1348" t="e">
        <f t="shared" si="5"/>
        <v>#DIV/0!</v>
      </c>
    </row>
    <row r="27" spans="1:29" s="421" customFormat="1" ht="15">
      <c r="A27" s="600"/>
      <c r="B27" s="601" t="s">
        <v>1835</v>
      </c>
      <c r="C27" s="602"/>
      <c r="D27" s="126">
        <v>100</v>
      </c>
      <c r="E27" s="602"/>
      <c r="F27" s="411">
        <f>SUMIF(81:81,E27,82:82)-SUMIF(81:81,C27,82:82)+100</f>
        <v>100</v>
      </c>
      <c r="G27" s="602"/>
      <c r="H27" s="385">
        <f>SUMIF(81:81,G27,82:82)-SUMIF(81:81,C27,82:82)+100</f>
        <v>100</v>
      </c>
      <c r="I27" s="602"/>
      <c r="J27" s="385">
        <f>SUMIF(81:81,I27,82:82)-SUMIF(81:81,C27,82:82)+100</f>
        <v>100</v>
      </c>
      <c r="K27" s="561"/>
      <c r="L27" s="2716"/>
      <c r="M27" s="2718"/>
      <c r="N27" s="2718"/>
      <c r="O27" s="2718"/>
      <c r="P27" s="3712"/>
      <c r="Q27" s="705" t="str">
        <f t="shared" si="11"/>
        <v>项目停车位配比</v>
      </c>
      <c r="R27" s="706" t="s">
        <v>14</v>
      </c>
      <c r="S27" s="707">
        <f t="shared" si="12"/>
        <v>100</v>
      </c>
      <c r="T27" s="706" t="s">
        <v>14</v>
      </c>
      <c r="U27" s="707">
        <f t="shared" si="13"/>
        <v>100</v>
      </c>
      <c r="V27" s="706" t="s">
        <v>14</v>
      </c>
      <c r="W27" s="707">
        <f t="shared" si="14"/>
        <v>100</v>
      </c>
      <c r="X27" s="708"/>
      <c r="Y27" s="3712"/>
      <c r="Z27" s="709" t="str">
        <f t="shared" si="15"/>
        <v>项目停车位配比</v>
      </c>
      <c r="AA27" s="1348">
        <f t="shared" si="3"/>
        <v>1</v>
      </c>
      <c r="AB27" s="1348">
        <f t="shared" si="4"/>
        <v>1</v>
      </c>
      <c r="AC27" s="1348">
        <f t="shared" si="5"/>
        <v>1</v>
      </c>
    </row>
    <row r="28" spans="1:29" ht="15">
      <c r="A28" s="603"/>
      <c r="B28" s="601" t="s">
        <v>1836</v>
      </c>
      <c r="C28" s="410"/>
      <c r="D28" s="385">
        <v>100</v>
      </c>
      <c r="E28" s="410"/>
      <c r="F28" s="411">
        <f>SUMIF(83:83,E28,84:84)-SUMIF(83:83,C28,84:84)+100</f>
        <v>100</v>
      </c>
      <c r="G28" s="410"/>
      <c r="H28" s="385">
        <f>SUMIF(83:83,G28,84:84)-SUMIF(83:83,C28,84:84)+100</f>
        <v>100</v>
      </c>
      <c r="I28" s="410"/>
      <c r="J28" s="385">
        <f>SUMIF(83:83,I28,84:84)-SUMIF(83:83,C28,84:84)+100</f>
        <v>100</v>
      </c>
      <c r="K28" s="560"/>
      <c r="L28" s="2717"/>
      <c r="M28" s="2711"/>
      <c r="N28" s="2711"/>
      <c r="O28" s="2711"/>
      <c r="P28" s="3712"/>
      <c r="Q28" s="1347" t="str">
        <f t="shared" si="11"/>
        <v>公共部分装修</v>
      </c>
      <c r="R28" s="703" t="s">
        <v>14</v>
      </c>
      <c r="S28" s="704">
        <f t="shared" si="12"/>
        <v>100</v>
      </c>
      <c r="T28" s="703" t="s">
        <v>14</v>
      </c>
      <c r="U28" s="704">
        <f t="shared" si="13"/>
        <v>100</v>
      </c>
      <c r="V28" s="703" t="s">
        <v>14</v>
      </c>
      <c r="W28" s="704">
        <f t="shared" si="14"/>
        <v>100</v>
      </c>
      <c r="X28" s="1350"/>
      <c r="Y28" s="3712"/>
      <c r="Z28" s="1351" t="str">
        <f t="shared" si="15"/>
        <v>公共部分装修</v>
      </c>
      <c r="AA28" s="1348">
        <f t="shared" si="3"/>
        <v>1</v>
      </c>
      <c r="AB28" s="1348">
        <f t="shared" si="4"/>
        <v>1</v>
      </c>
      <c r="AC28" s="1348">
        <f t="shared" si="5"/>
        <v>1</v>
      </c>
    </row>
    <row r="29" spans="1:29" ht="15">
      <c r="A29" s="603"/>
      <c r="B29" s="601" t="s">
        <v>1837</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7"/>
      <c r="M29" s="2711"/>
      <c r="N29" s="2711"/>
      <c r="O29" s="2711"/>
      <c r="P29" s="3712"/>
      <c r="Q29" s="1347" t="str">
        <f t="shared" si="11"/>
        <v>成新率</v>
      </c>
      <c r="R29" s="703" t="s">
        <v>14</v>
      </c>
      <c r="S29" s="704" t="e">
        <f t="shared" si="12"/>
        <v>#N/A</v>
      </c>
      <c r="T29" s="703" t="s">
        <v>14</v>
      </c>
      <c r="U29" s="704" t="e">
        <f t="shared" si="13"/>
        <v>#N/A</v>
      </c>
      <c r="V29" s="703" t="s">
        <v>14</v>
      </c>
      <c r="W29" s="704" t="e">
        <f t="shared" si="14"/>
        <v>#N/A</v>
      </c>
      <c r="X29" s="1350"/>
      <c r="Y29" s="3712"/>
      <c r="Z29" s="1351" t="str">
        <f t="shared" si="15"/>
        <v>成新率</v>
      </c>
      <c r="AA29" s="1348" t="e">
        <f t="shared" si="3"/>
        <v>#N/A</v>
      </c>
      <c r="AB29" s="1348" t="e">
        <f t="shared" si="4"/>
        <v>#N/A</v>
      </c>
      <c r="AC29" s="1348" t="e">
        <f t="shared" si="5"/>
        <v>#N/A</v>
      </c>
    </row>
    <row r="30" spans="1:29" ht="15">
      <c r="A30" s="603"/>
      <c r="B30" s="601" t="s">
        <v>1838</v>
      </c>
      <c r="C30" s="604"/>
      <c r="D30" s="385">
        <v>100</v>
      </c>
      <c r="E30" s="604"/>
      <c r="F30" s="411">
        <f>SUMIF(88:88,E30,89:89)-SUMIF(88:88,C30,89:89)+100</f>
        <v>100</v>
      </c>
      <c r="G30" s="604"/>
      <c r="H30" s="385">
        <f>SUMIF(88:88,E30,89:89)-SUMIF(88:88,C30,89:89)+100</f>
        <v>100</v>
      </c>
      <c r="I30" s="604"/>
      <c r="J30" s="385">
        <f>SUMIF(88:88,E30,89:89)-SUMIF(88:88,C30,89:89)+100</f>
        <v>100</v>
      </c>
      <c r="K30" s="560"/>
      <c r="L30" s="2717"/>
      <c r="M30" s="2711"/>
      <c r="N30" s="2711"/>
      <c r="O30" s="2711"/>
      <c r="P30" s="3712"/>
      <c r="Q30" s="1347" t="str">
        <f t="shared" si="11"/>
        <v>物业等级</v>
      </c>
      <c r="R30" s="703" t="s">
        <v>14</v>
      </c>
      <c r="S30" s="704">
        <f t="shared" si="12"/>
        <v>100</v>
      </c>
      <c r="T30" s="703" t="s">
        <v>14</v>
      </c>
      <c r="U30" s="704">
        <f t="shared" si="13"/>
        <v>100</v>
      </c>
      <c r="V30" s="703" t="s">
        <v>14</v>
      </c>
      <c r="W30" s="704">
        <f t="shared" si="14"/>
        <v>100</v>
      </c>
      <c r="X30" s="1350"/>
      <c r="Y30" s="3712"/>
      <c r="Z30" s="1351" t="str">
        <f t="shared" si="15"/>
        <v>物业等级</v>
      </c>
      <c r="AA30" s="1348">
        <f t="shared" si="3"/>
        <v>1</v>
      </c>
      <c r="AB30" s="1348">
        <f t="shared" si="4"/>
        <v>1</v>
      </c>
      <c r="AC30" s="1348">
        <f t="shared" si="5"/>
        <v>1</v>
      </c>
    </row>
    <row r="31" spans="1:29" s="108" customFormat="1" ht="15">
      <c r="A31" s="605"/>
      <c r="B31" s="601" t="s">
        <v>1839</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2"/>
      <c r="M31" s="2713"/>
      <c r="N31" s="2713"/>
      <c r="O31" s="2713"/>
      <c r="P31" s="3712"/>
      <c r="Q31" s="1338" t="str">
        <f t="shared" si="11"/>
        <v>停车位面积</v>
      </c>
      <c r="R31" s="699" t="s">
        <v>14</v>
      </c>
      <c r="S31" s="700" t="e">
        <f t="shared" si="12"/>
        <v>#N/A</v>
      </c>
      <c r="T31" s="699" t="s">
        <v>14</v>
      </c>
      <c r="U31" s="700" t="e">
        <f t="shared" si="13"/>
        <v>#N/A</v>
      </c>
      <c r="V31" s="699" t="s">
        <v>14</v>
      </c>
      <c r="W31" s="700" t="e">
        <f t="shared" si="14"/>
        <v>#N/A</v>
      </c>
      <c r="X31" s="701"/>
      <c r="Y31" s="3712"/>
      <c r="Z31" s="52" t="str">
        <f t="shared" si="15"/>
        <v>停车位面积</v>
      </c>
      <c r="AA31" s="702" t="e">
        <f t="shared" si="3"/>
        <v>#N/A</v>
      </c>
      <c r="AB31" s="702" t="e">
        <f t="shared" si="4"/>
        <v>#N/A</v>
      </c>
      <c r="AC31" s="702" t="e">
        <f t="shared" si="5"/>
        <v>#N/A</v>
      </c>
    </row>
    <row r="32" spans="1:29" ht="15">
      <c r="A32" s="603"/>
      <c r="B32" s="601" t="s">
        <v>1840</v>
      </c>
      <c r="C32" s="410"/>
      <c r="D32" s="385">
        <v>100</v>
      </c>
      <c r="E32" s="410"/>
      <c r="F32" s="411">
        <f>SUMIF(93:93,E32,94:94)-SUMIF(93:93,C32,94:94)+100</f>
        <v>100</v>
      </c>
      <c r="G32" s="410"/>
      <c r="H32" s="385">
        <f>SUMIF(93:93,G32,94:94)-SUMIF(93:93,C32,94:94)+100</f>
        <v>100</v>
      </c>
      <c r="I32" s="410"/>
      <c r="J32" s="385">
        <f>SUMIF(93:93,I32,94:94)-SUMIF(93:93,C32,94:94)+100</f>
        <v>100</v>
      </c>
      <c r="K32" s="560"/>
      <c r="L32" s="2717"/>
      <c r="M32" s="2711"/>
      <c r="N32" s="2711"/>
      <c r="O32" s="2711"/>
      <c r="P32" s="3712" t="s">
        <v>1694</v>
      </c>
      <c r="Q32" s="1347" t="str">
        <f t="shared" si="11"/>
        <v>车位类型</v>
      </c>
      <c r="R32" s="703" t="s">
        <v>14</v>
      </c>
      <c r="S32" s="704">
        <f t="shared" si="12"/>
        <v>100</v>
      </c>
      <c r="T32" s="703" t="s">
        <v>14</v>
      </c>
      <c r="U32" s="704">
        <f t="shared" si="13"/>
        <v>100</v>
      </c>
      <c r="V32" s="703" t="s">
        <v>14</v>
      </c>
      <c r="W32" s="704">
        <f t="shared" si="14"/>
        <v>100</v>
      </c>
      <c r="X32" s="1350"/>
      <c r="Y32" s="3712" t="s">
        <v>1694</v>
      </c>
      <c r="Z32" s="1351" t="str">
        <f t="shared" si="15"/>
        <v>车位类型</v>
      </c>
      <c r="AA32" s="1348">
        <f t="shared" si="3"/>
        <v>1</v>
      </c>
      <c r="AB32" s="1348">
        <f t="shared" si="4"/>
        <v>1</v>
      </c>
      <c r="AC32" s="1348">
        <f t="shared" si="5"/>
        <v>1</v>
      </c>
    </row>
    <row r="33" spans="1:29" ht="15">
      <c r="A33" s="603"/>
      <c r="B33" s="601" t="s">
        <v>1841</v>
      </c>
      <c r="C33" s="410"/>
      <c r="D33" s="385">
        <v>100</v>
      </c>
      <c r="E33" s="410"/>
      <c r="F33" s="411">
        <f>SUMIF(95:95,E33,96:96)-SUMIF(95:95,C33,96:96)+100</f>
        <v>100</v>
      </c>
      <c r="G33" s="410"/>
      <c r="H33" s="385">
        <f>SUMIF(95:95,G33,96:96)-SUMIF(95:95,C33,96:96)+100</f>
        <v>100</v>
      </c>
      <c r="I33" s="410"/>
      <c r="J33" s="385">
        <f>SUMIF(95:95,I33,96:96)-SUMIF(95:95,C33,96:96)+100</f>
        <v>100</v>
      </c>
      <c r="K33" s="560"/>
      <c r="L33" s="2717"/>
      <c r="M33" s="2711"/>
      <c r="N33" s="2711"/>
      <c r="O33" s="2711"/>
      <c r="P33" s="3712"/>
      <c r="Q33" s="1347" t="str">
        <f t="shared" si="11"/>
        <v>是否直接入户</v>
      </c>
      <c r="R33" s="703" t="s">
        <v>14</v>
      </c>
      <c r="S33" s="704">
        <f t="shared" si="12"/>
        <v>100</v>
      </c>
      <c r="T33" s="703" t="s">
        <v>14</v>
      </c>
      <c r="U33" s="704">
        <f t="shared" si="13"/>
        <v>100</v>
      </c>
      <c r="V33" s="703" t="s">
        <v>14</v>
      </c>
      <c r="W33" s="704">
        <f t="shared" si="14"/>
        <v>100</v>
      </c>
      <c r="X33" s="1350"/>
      <c r="Y33" s="3712"/>
      <c r="Z33" s="1351" t="str">
        <f t="shared" si="15"/>
        <v>是否直接入户</v>
      </c>
      <c r="AA33" s="1348">
        <f t="shared" si="3"/>
        <v>1</v>
      </c>
      <c r="AB33" s="1348">
        <f t="shared" si="4"/>
        <v>1</v>
      </c>
      <c r="AC33" s="1348">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7"/>
      <c r="M34" s="2711"/>
      <c r="N34" s="2711"/>
      <c r="O34" s="2711"/>
      <c r="P34" s="3712"/>
      <c r="Q34" s="1347">
        <f t="shared" si="11"/>
        <v>111</v>
      </c>
      <c r="R34" s="703" t="s">
        <v>14</v>
      </c>
      <c r="S34" s="704">
        <f t="shared" si="12"/>
        <v>100</v>
      </c>
      <c r="T34" s="703" t="s">
        <v>14</v>
      </c>
      <c r="U34" s="704">
        <f t="shared" si="13"/>
        <v>100</v>
      </c>
      <c r="V34" s="703" t="s">
        <v>14</v>
      </c>
      <c r="W34" s="704">
        <f t="shared" si="14"/>
        <v>100</v>
      </c>
      <c r="X34" s="1350"/>
      <c r="Y34" s="3712"/>
      <c r="Z34" s="1351">
        <f t="shared" si="15"/>
        <v>111</v>
      </c>
      <c r="AA34" s="1348">
        <f t="shared" si="3"/>
        <v>1</v>
      </c>
      <c r="AB34" s="1348">
        <f t="shared" si="4"/>
        <v>1</v>
      </c>
      <c r="AC34" s="1348">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6"/>
      <c r="M35" s="2718"/>
      <c r="N35" s="2718"/>
      <c r="O35" s="2718"/>
      <c r="P35" s="3712"/>
      <c r="Q35" s="705">
        <f t="shared" si="11"/>
        <v>111</v>
      </c>
      <c r="R35" s="706" t="s">
        <v>14</v>
      </c>
      <c r="S35" s="707">
        <f t="shared" si="12"/>
        <v>100</v>
      </c>
      <c r="T35" s="706" t="s">
        <v>14</v>
      </c>
      <c r="U35" s="707">
        <f t="shared" si="13"/>
        <v>100</v>
      </c>
      <c r="V35" s="706" t="s">
        <v>14</v>
      </c>
      <c r="W35" s="707">
        <f t="shared" si="14"/>
        <v>100</v>
      </c>
      <c r="X35" s="708"/>
      <c r="Y35" s="3712"/>
      <c r="Z35" s="709">
        <f t="shared" si="15"/>
        <v>111</v>
      </c>
      <c r="AA35" s="1348">
        <f t="shared" si="3"/>
        <v>1</v>
      </c>
      <c r="AB35" s="1348">
        <f t="shared" si="4"/>
        <v>1</v>
      </c>
      <c r="AC35" s="1348">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7"/>
      <c r="M36" s="2711"/>
      <c r="N36" s="2711"/>
      <c r="O36" s="2711"/>
      <c r="P36" s="3712"/>
      <c r="Q36" s="1347">
        <f t="shared" si="11"/>
        <v>111</v>
      </c>
      <c r="R36" s="703" t="s">
        <v>14</v>
      </c>
      <c r="S36" s="704">
        <f t="shared" si="12"/>
        <v>100</v>
      </c>
      <c r="T36" s="703" t="s">
        <v>14</v>
      </c>
      <c r="U36" s="704">
        <f t="shared" si="13"/>
        <v>100</v>
      </c>
      <c r="V36" s="703" t="s">
        <v>14</v>
      </c>
      <c r="W36" s="704">
        <f t="shared" si="14"/>
        <v>100</v>
      </c>
      <c r="X36" s="1350"/>
      <c r="Y36" s="3712"/>
      <c r="Z36" s="1351">
        <f t="shared" si="15"/>
        <v>111</v>
      </c>
      <c r="AA36" s="1348">
        <f t="shared" si="3"/>
        <v>1</v>
      </c>
      <c r="AB36" s="1348">
        <f t="shared" si="4"/>
        <v>1</v>
      </c>
      <c r="AC36" s="1348">
        <f t="shared" si="5"/>
        <v>1</v>
      </c>
    </row>
    <row r="37" spans="1:29" ht="15">
      <c r="A37" s="429" t="s">
        <v>1842</v>
      </c>
      <c r="B37" s="1968" t="s">
        <v>3355</v>
      </c>
      <c r="C37" s="1150" t="s">
        <v>0</v>
      </c>
      <c r="D37" s="1151"/>
      <c r="E37" s="1152"/>
      <c r="F37" s="1153"/>
      <c r="G37" s="1154"/>
      <c r="H37" s="1155"/>
      <c r="I37" s="1152"/>
      <c r="J37" s="1155"/>
      <c r="K37" s="567"/>
      <c r="L37" s="2719"/>
      <c r="M37" s="2720"/>
      <c r="N37" s="2711"/>
      <c r="O37" s="2720"/>
      <c r="P37" s="3705" t="str">
        <f>A37</f>
        <v>成交单价</v>
      </c>
      <c r="Q37" s="3705"/>
      <c r="R37" s="3706">
        <f>E37</f>
        <v>0</v>
      </c>
      <c r="S37" s="3706"/>
      <c r="T37" s="3706">
        <f>G37</f>
        <v>0</v>
      </c>
      <c r="U37" s="3706"/>
      <c r="V37" s="3706">
        <f>I37</f>
        <v>0</v>
      </c>
      <c r="W37" s="3706"/>
      <c r="X37" s="688"/>
      <c r="Y37" s="710"/>
      <c r="Z37" s="688"/>
      <c r="AA37" s="688"/>
      <c r="AB37" s="688"/>
      <c r="AC37" s="688"/>
    </row>
    <row r="38" spans="1:29" ht="15.75" thickBot="1">
      <c r="A38" s="436" t="s">
        <v>1843</v>
      </c>
      <c r="B38" s="437" t="str">
        <f>B37</f>
        <v>元/平方米</v>
      </c>
      <c r="C38" s="1156" t="e">
        <f>R39</f>
        <v>#DIV/0!</v>
      </c>
      <c r="D38" s="2312" t="s">
        <v>2135</v>
      </c>
      <c r="E38" s="1157" t="e">
        <f>R38</f>
        <v>#DIV/0!</v>
      </c>
      <c r="F38" s="2313"/>
      <c r="G38" s="1156" t="e">
        <f>T38</f>
        <v>#DIV/0!</v>
      </c>
      <c r="H38" s="2313"/>
      <c r="I38" s="1157" t="e">
        <f>V38</f>
        <v>#DIV/0!</v>
      </c>
      <c r="J38" s="2313"/>
      <c r="K38" s="2315">
        <f>F38+H38+J38</f>
        <v>0</v>
      </c>
      <c r="L38" s="2719"/>
      <c r="M38" s="2720"/>
      <c r="N38" s="2720"/>
      <c r="O38" s="2720"/>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8"/>
      <c r="Y38" s="688"/>
      <c r="Z38" s="688"/>
      <c r="AA38" s="688"/>
      <c r="AB38" s="688"/>
      <c r="AC38" s="688"/>
    </row>
    <row r="39" spans="1:29" ht="15.75" thickBot="1">
      <c r="A39" s="440" t="s">
        <v>1844</v>
      </c>
      <c r="B39" s="441"/>
      <c r="C39" s="1159" t="e">
        <f>R39</f>
        <v>#DIV/0!</v>
      </c>
      <c r="D39" s="1159"/>
      <c r="E39" s="1159"/>
      <c r="F39" s="1159"/>
      <c r="G39" s="1159"/>
      <c r="H39" s="1159"/>
      <c r="I39" s="1159"/>
      <c r="J39" s="1159"/>
      <c r="K39" s="568"/>
      <c r="L39" s="2719"/>
      <c r="M39" s="2720"/>
      <c r="N39" s="2720"/>
      <c r="O39" s="2720"/>
      <c r="P39" s="3702" t="str">
        <f>A39</f>
        <v>估价对象XX用房的比较价值（楼面单价，元/平方米）</v>
      </c>
      <c r="Q39" s="3703"/>
      <c r="R39" s="3764" t="e">
        <f>IF(F1="售价",ROUND(IF(D38="简单平均",AVERAGE(R38:W38),R38*F38+T38*H38+V38*J38),0),ROUND(IF(D38="简单平均",AVERAGE(R38:V38),R38*F38+T38*H38+V38*J38),1))</f>
        <v>#DIV/0!</v>
      </c>
      <c r="S39" s="3764"/>
      <c r="T39" s="3764"/>
      <c r="U39" s="3764"/>
      <c r="V39" s="3764"/>
      <c r="W39" s="3764"/>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5" t="s">
        <v>1845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5" t="s">
        <v>1846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0" customFormat="1" ht="13.5" customHeight="1">
      <c r="A44" s="2723"/>
      <c r="B44" s="2723"/>
      <c r="C44" s="445" t="s">
        <v>1847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0"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1848</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6" customFormat="1" ht="15">
      <c r="A48" s="453" t="s">
        <v>1849</v>
      </c>
      <c r="B48" s="454"/>
      <c r="C48" s="1179" t="str">
        <f>YEAR(C7)&amp;"-"&amp;MONTH(C7)</f>
        <v>2024-1</v>
      </c>
      <c r="D48" s="1180">
        <f>EDATE(C48,-1)</f>
        <v>45261</v>
      </c>
      <c r="E48" s="1180">
        <f t="shared" ref="E48:O48" si="16">EDATE(D48,-1)</f>
        <v>45231</v>
      </c>
      <c r="F48" s="1180">
        <f t="shared" si="16"/>
        <v>45200</v>
      </c>
      <c r="G48" s="1180">
        <f t="shared" si="16"/>
        <v>45170</v>
      </c>
      <c r="H48" s="1180">
        <f t="shared" si="16"/>
        <v>45139</v>
      </c>
      <c r="I48" s="1180">
        <f t="shared" si="16"/>
        <v>45108</v>
      </c>
      <c r="J48" s="1180">
        <f t="shared" si="16"/>
        <v>45078</v>
      </c>
      <c r="K48" s="1180">
        <f t="shared" si="16"/>
        <v>45047</v>
      </c>
      <c r="L48" s="1180">
        <f t="shared" si="16"/>
        <v>45017</v>
      </c>
      <c r="M48" s="1180">
        <f t="shared" si="16"/>
        <v>44986</v>
      </c>
      <c r="N48" s="1180">
        <f t="shared" si="16"/>
        <v>44958</v>
      </c>
      <c r="O48" s="1180">
        <f t="shared" si="16"/>
        <v>44927</v>
      </c>
      <c r="P48" s="2754"/>
      <c r="Q48" s="2736"/>
      <c r="R48" s="2736"/>
      <c r="S48" s="2736"/>
      <c r="T48" s="2736"/>
      <c r="U48" s="2736"/>
      <c r="V48" s="2736"/>
      <c r="W48" s="2736"/>
      <c r="X48" s="2736"/>
      <c r="Y48" s="2736"/>
      <c r="Z48" s="2736"/>
      <c r="AA48" s="2736"/>
      <c r="AB48" s="2736"/>
      <c r="AC48" s="2736"/>
    </row>
    <row r="49" spans="1:29" s="108" customFormat="1" ht="15">
      <c r="A49" s="457"/>
      <c r="B49" s="458"/>
      <c r="C49" s="1173">
        <v>100</v>
      </c>
      <c r="D49" s="460"/>
      <c r="E49" s="460"/>
      <c r="F49" s="460"/>
      <c r="G49" s="460"/>
      <c r="H49" s="460"/>
      <c r="I49" s="460"/>
      <c r="J49" s="460"/>
      <c r="K49" s="460"/>
      <c r="L49" s="460"/>
      <c r="M49" s="461"/>
      <c r="N49" s="460"/>
      <c r="O49" s="461"/>
      <c r="P49" s="2755"/>
      <c r="Q49" s="2656"/>
      <c r="R49" s="2656"/>
      <c r="S49" s="2656"/>
      <c r="T49" s="2656"/>
      <c r="U49" s="2656"/>
      <c r="V49" s="2656"/>
      <c r="W49" s="2656"/>
      <c r="X49" s="2656"/>
      <c r="Y49" s="2656"/>
      <c r="Z49" s="2656"/>
      <c r="AA49" s="2656"/>
      <c r="AB49" s="2656"/>
      <c r="AC49" s="2656"/>
    </row>
    <row r="50" spans="1:29" s="108" customFormat="1" ht="15.75" thickBot="1">
      <c r="A50" s="463" t="s">
        <v>1714</v>
      </c>
      <c r="B50" s="464"/>
      <c r="C50" s="465"/>
      <c r="D50" s="466"/>
      <c r="E50" s="466"/>
      <c r="F50" s="466"/>
      <c r="G50" s="466"/>
      <c r="H50" s="466"/>
      <c r="I50" s="466"/>
      <c r="J50" s="466"/>
      <c r="K50" s="466"/>
      <c r="L50" s="466"/>
      <c r="M50" s="467"/>
      <c r="N50" s="466"/>
      <c r="O50" s="467"/>
      <c r="P50" s="2755"/>
      <c r="Q50" s="2734"/>
      <c r="R50" s="2656"/>
      <c r="S50" s="2656"/>
      <c r="T50" s="2656"/>
      <c r="U50" s="2656"/>
      <c r="V50" s="2656"/>
      <c r="W50" s="2656"/>
      <c r="X50" s="2656"/>
      <c r="Y50" s="2656"/>
      <c r="Z50" s="2656"/>
      <c r="AA50" s="2656"/>
      <c r="AB50" s="2656"/>
      <c r="AC50" s="2656"/>
    </row>
    <row r="51" spans="1:29" s="108" customFormat="1" ht="15">
      <c r="A51" s="469" t="s">
        <v>1679</v>
      </c>
      <c r="B51" s="458"/>
      <c r="C51" s="470" t="s">
        <v>1774</v>
      </c>
      <c r="D51" s="471"/>
      <c r="E51" s="471"/>
      <c r="F51" s="471"/>
      <c r="G51" s="471"/>
      <c r="H51" s="471"/>
      <c r="I51" s="471"/>
      <c r="J51" s="471"/>
      <c r="K51" s="471"/>
      <c r="L51" s="472"/>
      <c r="M51" s="473"/>
      <c r="N51" s="2747"/>
      <c r="O51" s="2747"/>
      <c r="P51" s="2756"/>
      <c r="Q51" s="2734"/>
      <c r="R51" s="2656"/>
      <c r="S51" s="2656"/>
      <c r="T51" s="2656"/>
      <c r="U51" s="2656"/>
      <c r="V51" s="2656"/>
      <c r="W51" s="2656"/>
      <c r="X51" s="2656"/>
      <c r="Y51" s="2656"/>
      <c r="Z51" s="2656"/>
      <c r="AA51" s="2656"/>
      <c r="AB51" s="2656"/>
      <c r="AC51" s="2656"/>
    </row>
    <row r="52" spans="1:29" s="108" customFormat="1" ht="15.75" thickBot="1">
      <c r="A52" s="469"/>
      <c r="B52" s="458"/>
      <c r="C52" s="586">
        <v>100</v>
      </c>
      <c r="D52" s="460"/>
      <c r="E52" s="460"/>
      <c r="F52" s="460"/>
      <c r="G52" s="460"/>
      <c r="H52" s="460"/>
      <c r="I52" s="460"/>
      <c r="J52" s="460"/>
      <c r="K52" s="460"/>
      <c r="L52" s="460"/>
      <c r="M52" s="462"/>
      <c r="N52" s="2747"/>
      <c r="O52" s="2747"/>
      <c r="P52" s="2755"/>
      <c r="Q52" s="2734"/>
      <c r="R52" s="2656"/>
      <c r="S52" s="2656"/>
      <c r="T52" s="2656"/>
      <c r="U52" s="2656"/>
      <c r="V52" s="2656"/>
      <c r="W52" s="2656"/>
      <c r="X52" s="2656"/>
      <c r="Y52" s="2656"/>
      <c r="Z52" s="2656"/>
      <c r="AA52" s="2656"/>
      <c r="AB52" s="2656"/>
      <c r="AC52" s="2656"/>
    </row>
    <row r="53" spans="1:29">
      <c r="A53" s="475" t="s">
        <v>1717</v>
      </c>
      <c r="B53" s="476" t="s">
        <v>1683</v>
      </c>
      <c r="C53" s="477">
        <f>C9</f>
        <v>0</v>
      </c>
      <c r="D53" s="478"/>
      <c r="E53" s="478"/>
      <c r="F53" s="478"/>
      <c r="G53" s="478"/>
      <c r="H53" s="478"/>
      <c r="I53" s="478"/>
      <c r="J53" s="478"/>
      <c r="K53" s="479"/>
      <c r="L53" s="480"/>
      <c r="M53" s="481"/>
      <c r="N53" s="2748"/>
      <c r="O53" s="2748"/>
      <c r="P53" s="2757"/>
      <c r="Q53" s="2734"/>
      <c r="R53" s="2720"/>
      <c r="S53" s="2720"/>
      <c r="T53" s="2720"/>
      <c r="U53" s="2720"/>
      <c r="V53" s="2720"/>
      <c r="W53" s="2720"/>
      <c r="X53" s="2720"/>
      <c r="Y53" s="2720"/>
      <c r="Z53" s="2720"/>
      <c r="AA53" s="2720"/>
      <c r="AB53" s="2720"/>
      <c r="AC53" s="2720"/>
    </row>
    <row r="54" spans="1:29" ht="15.75" thickBot="1">
      <c r="A54" s="482"/>
      <c r="B54" s="483"/>
      <c r="C54" s="484">
        <v>100</v>
      </c>
      <c r="D54" s="484"/>
      <c r="E54" s="484"/>
      <c r="F54" s="484"/>
      <c r="G54" s="484"/>
      <c r="H54" s="484"/>
      <c r="I54" s="484"/>
      <c r="J54" s="484"/>
      <c r="K54" s="484"/>
      <c r="L54" s="484"/>
      <c r="M54" s="485"/>
      <c r="N54" s="2749"/>
      <c r="O54" s="2749"/>
      <c r="P54" s="2757"/>
      <c r="Q54" s="2734"/>
      <c r="R54" s="2720"/>
      <c r="S54" s="2720"/>
      <c r="T54" s="2720"/>
      <c r="U54" s="2720"/>
      <c r="V54" s="2720"/>
      <c r="W54" s="2720"/>
      <c r="X54" s="2720"/>
      <c r="Y54" s="2720"/>
      <c r="Z54" s="2720"/>
      <c r="AA54" s="2720"/>
      <c r="AB54" s="2720"/>
      <c r="AC54" s="2720"/>
    </row>
    <row r="55" spans="1:29" ht="27.75" thickTop="1">
      <c r="A55" s="482"/>
      <c r="B55" s="486" t="s">
        <v>1686</v>
      </c>
      <c r="C55" s="531"/>
      <c r="D55" s="531"/>
      <c r="E55" s="531"/>
      <c r="F55" s="531"/>
      <c r="G55" s="531"/>
      <c r="H55" s="531"/>
      <c r="I55" s="531"/>
      <c r="J55" s="531"/>
      <c r="K55" s="532"/>
      <c r="L55" s="533"/>
      <c r="M55" s="534"/>
      <c r="N55" s="2748"/>
      <c r="O55" s="2748"/>
      <c r="P55" s="2757"/>
      <c r="Q55" s="2734"/>
      <c r="R55" s="2720"/>
      <c r="S55" s="2720"/>
      <c r="T55" s="2720"/>
      <c r="U55" s="2720"/>
      <c r="V55" s="2720"/>
      <c r="W55" s="2720"/>
      <c r="X55" s="2720"/>
      <c r="Y55" s="2720"/>
      <c r="Z55" s="2720"/>
      <c r="AA55" s="2720"/>
      <c r="AB55" s="2720"/>
      <c r="AC55" s="2720"/>
    </row>
    <row r="56" spans="1:29" ht="15.75" thickBot="1">
      <c r="A56" s="482"/>
      <c r="B56" s="491"/>
      <c r="C56" s="484"/>
      <c r="D56" s="484"/>
      <c r="E56" s="484"/>
      <c r="F56" s="484"/>
      <c r="G56" s="484"/>
      <c r="H56" s="484"/>
      <c r="I56" s="484"/>
      <c r="J56" s="484"/>
      <c r="K56" s="484"/>
      <c r="L56" s="484"/>
      <c r="M56" s="485"/>
      <c r="N56" s="2749"/>
      <c r="O56" s="2749"/>
      <c r="P56" s="2757"/>
      <c r="Q56" s="2734"/>
      <c r="R56" s="2720"/>
      <c r="S56" s="2720"/>
      <c r="T56" s="2720"/>
      <c r="U56" s="2720"/>
      <c r="V56" s="2720"/>
      <c r="W56" s="2720"/>
      <c r="X56" s="2720"/>
      <c r="Y56" s="2720"/>
      <c r="Z56" s="2720"/>
      <c r="AA56" s="2720"/>
      <c r="AB56" s="2720"/>
      <c r="AC56" s="2720"/>
    </row>
    <row r="57" spans="1:29" ht="15.75" thickTop="1">
      <c r="A57" s="482"/>
      <c r="B57" s="607">
        <f>B11</f>
        <v>111</v>
      </c>
      <c r="C57" s="497"/>
      <c r="D57" s="497"/>
      <c r="E57" s="497"/>
      <c r="F57" s="497"/>
      <c r="G57" s="497"/>
      <c r="H57" s="497"/>
      <c r="I57" s="497"/>
      <c r="J57" s="497"/>
      <c r="K57" s="498"/>
      <c r="L57" s="499"/>
      <c r="M57" s="500"/>
      <c r="N57" s="2748"/>
      <c r="O57" s="2748"/>
      <c r="P57" s="2757"/>
      <c r="Q57" s="2734"/>
      <c r="R57" s="2720"/>
      <c r="S57" s="2720"/>
      <c r="T57" s="2720"/>
      <c r="U57" s="2720"/>
      <c r="V57" s="2720"/>
      <c r="W57" s="2720"/>
      <c r="X57" s="2720"/>
      <c r="Y57" s="2720"/>
      <c r="Z57" s="2720"/>
      <c r="AA57" s="2720"/>
      <c r="AB57" s="2720"/>
      <c r="AC57" s="2720"/>
    </row>
    <row r="58" spans="1:29" ht="15.75" thickBot="1">
      <c r="A58" s="482"/>
      <c r="B58" s="483"/>
      <c r="C58" s="508"/>
      <c r="D58" s="484"/>
      <c r="E58" s="484"/>
      <c r="F58" s="484"/>
      <c r="G58" s="484"/>
      <c r="H58" s="484"/>
      <c r="I58" s="484"/>
      <c r="J58" s="484"/>
      <c r="K58" s="484"/>
      <c r="L58" s="484"/>
      <c r="M58" s="485"/>
      <c r="N58" s="2749"/>
      <c r="O58" s="2749"/>
      <c r="P58" s="2757"/>
      <c r="Q58" s="2734"/>
      <c r="R58" s="2720"/>
      <c r="S58" s="2720"/>
      <c r="T58" s="2720"/>
      <c r="U58" s="2720"/>
      <c r="V58" s="2720"/>
      <c r="W58" s="2720"/>
      <c r="X58" s="2720"/>
      <c r="Y58" s="2720"/>
      <c r="Z58" s="2720"/>
      <c r="AA58" s="2720"/>
      <c r="AB58" s="2720"/>
      <c r="AC58" s="2720"/>
    </row>
    <row r="59" spans="1:29" s="421" customFormat="1" ht="15.75" thickTop="1">
      <c r="A59" s="501"/>
      <c r="B59" s="486">
        <f>B12</f>
        <v>111</v>
      </c>
      <c r="C59" s="497"/>
      <c r="D59" s="497"/>
      <c r="E59" s="497"/>
      <c r="F59" s="497"/>
      <c r="G59" s="502"/>
      <c r="H59" s="503"/>
      <c r="I59" s="503"/>
      <c r="J59" s="503"/>
      <c r="K59" s="503"/>
      <c r="L59" s="504"/>
      <c r="M59" s="505"/>
      <c r="N59" s="2750"/>
      <c r="O59" s="2750"/>
      <c r="P59" s="2758"/>
      <c r="Q59" s="2741"/>
      <c r="R59" s="2742"/>
      <c r="S59" s="2742"/>
      <c r="T59" s="2742"/>
      <c r="U59" s="2742"/>
      <c r="V59" s="2742"/>
      <c r="W59" s="2742"/>
      <c r="X59" s="2742"/>
      <c r="Y59" s="2742"/>
      <c r="Z59" s="2742"/>
      <c r="AA59" s="2742"/>
      <c r="AB59" s="2742"/>
      <c r="AC59" s="2742"/>
    </row>
    <row r="60" spans="1:29" s="421" customFormat="1" ht="15.75" thickBot="1">
      <c r="A60" s="501"/>
      <c r="B60" s="491"/>
      <c r="C60" s="508"/>
      <c r="D60" s="484"/>
      <c r="E60" s="484"/>
      <c r="F60" s="484"/>
      <c r="G60" s="484"/>
      <c r="H60" s="484"/>
      <c r="I60" s="484"/>
      <c r="J60" s="484"/>
      <c r="K60" s="484"/>
      <c r="L60" s="484"/>
      <c r="M60" s="485"/>
      <c r="N60" s="2749"/>
      <c r="O60" s="2749"/>
      <c r="P60" s="2758"/>
      <c r="Q60" s="2741"/>
      <c r="R60" s="2742"/>
      <c r="S60" s="2742"/>
      <c r="T60" s="2742"/>
      <c r="U60" s="2742"/>
      <c r="V60" s="2742"/>
      <c r="W60" s="2742"/>
      <c r="X60" s="2742"/>
      <c r="Y60" s="2742"/>
      <c r="Z60" s="2742"/>
      <c r="AA60" s="2742"/>
      <c r="AB60" s="2742"/>
      <c r="AC60" s="2742"/>
    </row>
    <row r="61" spans="1:29" s="421" customFormat="1" ht="15.75" thickTop="1">
      <c r="A61" s="501"/>
      <c r="B61" s="486">
        <f>B13</f>
        <v>111</v>
      </c>
      <c r="C61" s="502"/>
      <c r="D61" s="502"/>
      <c r="E61" s="502"/>
      <c r="F61" s="502"/>
      <c r="G61" s="502"/>
      <c r="H61" s="503"/>
      <c r="I61" s="503"/>
      <c r="J61" s="503"/>
      <c r="K61" s="503"/>
      <c r="L61" s="504"/>
      <c r="M61" s="505"/>
      <c r="N61" s="2750"/>
      <c r="O61" s="2750"/>
      <c r="P61" s="2759"/>
      <c r="Q61" s="2744"/>
      <c r="R61" s="2742"/>
      <c r="S61" s="2742"/>
      <c r="T61" s="2742"/>
      <c r="U61" s="2742"/>
      <c r="V61" s="2742"/>
      <c r="W61" s="2742"/>
      <c r="X61" s="2742"/>
      <c r="Y61" s="2742"/>
      <c r="Z61" s="2742"/>
      <c r="AA61" s="2742"/>
      <c r="AB61" s="2742"/>
      <c r="AC61" s="2742"/>
    </row>
    <row r="62" spans="1:29" s="421" customFormat="1" ht="15.75" thickBot="1">
      <c r="A62" s="501"/>
      <c r="B62" s="491"/>
      <c r="C62" s="508"/>
      <c r="D62" s="508"/>
      <c r="E62" s="508"/>
      <c r="F62" s="508"/>
      <c r="G62" s="508"/>
      <c r="H62" s="510"/>
      <c r="I62" s="510"/>
      <c r="J62" s="510"/>
      <c r="K62" s="510"/>
      <c r="L62" s="510"/>
      <c r="M62" s="511"/>
      <c r="N62" s="2750"/>
      <c r="O62" s="2750"/>
      <c r="P62" s="2758"/>
      <c r="Q62" s="2741"/>
      <c r="R62" s="2742"/>
      <c r="S62" s="2742"/>
      <c r="T62" s="2742"/>
      <c r="U62" s="2742"/>
      <c r="V62" s="2742"/>
      <c r="W62" s="2742"/>
      <c r="X62" s="2742"/>
      <c r="Y62" s="2742"/>
      <c r="Z62" s="2742"/>
      <c r="AA62" s="2742"/>
      <c r="AB62" s="2742"/>
      <c r="AC62" s="2742"/>
    </row>
    <row r="63" spans="1:29" ht="15" thickTop="1">
      <c r="A63" s="475" t="s">
        <v>1688</v>
      </c>
      <c r="B63" s="476" t="s">
        <v>1724</v>
      </c>
      <c r="C63" s="521" t="s">
        <v>1719</v>
      </c>
      <c r="D63" s="521" t="s">
        <v>1720</v>
      </c>
      <c r="E63" s="521" t="s">
        <v>1721</v>
      </c>
      <c r="F63" s="521" t="s">
        <v>1722</v>
      </c>
      <c r="G63" s="521" t="s">
        <v>1723</v>
      </c>
      <c r="H63" s="477"/>
      <c r="I63" s="477"/>
      <c r="J63" s="477"/>
      <c r="K63" s="522"/>
      <c r="L63" s="523"/>
      <c r="M63" s="524"/>
      <c r="N63" s="2748"/>
      <c r="O63" s="2748"/>
      <c r="P63" s="2761"/>
      <c r="Q63" s="2734"/>
      <c r="R63" s="2720"/>
      <c r="S63" s="2720"/>
      <c r="T63" s="2720"/>
      <c r="U63" s="2720"/>
      <c r="V63" s="2720"/>
      <c r="W63" s="2720"/>
      <c r="X63" s="2720"/>
      <c r="Y63" s="2720"/>
      <c r="Z63" s="2720"/>
      <c r="AA63" s="2720"/>
      <c r="AB63" s="2720"/>
      <c r="AC63" s="2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9"/>
      <c r="O64" s="2749"/>
      <c r="P64" s="2757"/>
      <c r="Q64" s="2734"/>
      <c r="R64" s="2720"/>
      <c r="S64" s="2720"/>
      <c r="T64" s="2720"/>
      <c r="U64" s="2720"/>
      <c r="V64" s="2720"/>
      <c r="W64" s="2720"/>
      <c r="X64" s="2720"/>
      <c r="Y64" s="2720"/>
      <c r="Z64" s="2720"/>
      <c r="AA64" s="2720"/>
      <c r="AB64" s="2720"/>
      <c r="AC64" s="2720"/>
    </row>
    <row r="65" spans="1:29" ht="15.75" thickTop="1">
      <c r="A65" s="482"/>
      <c r="B65" s="486" t="s">
        <v>1725</v>
      </c>
      <c r="C65" s="526" t="s">
        <v>1719</v>
      </c>
      <c r="D65" s="526" t="s">
        <v>1720</v>
      </c>
      <c r="E65" s="526" t="s">
        <v>1721</v>
      </c>
      <c r="F65" s="526" t="s">
        <v>1722</v>
      </c>
      <c r="G65" s="526" t="s">
        <v>1723</v>
      </c>
      <c r="H65" s="487"/>
      <c r="I65" s="487"/>
      <c r="J65" s="487"/>
      <c r="K65" s="488"/>
      <c r="L65" s="489"/>
      <c r="M65" s="490"/>
      <c r="N65" s="2748"/>
      <c r="O65" s="2748"/>
      <c r="P65" s="2757"/>
      <c r="Q65" s="2734"/>
      <c r="R65" s="2720"/>
      <c r="S65" s="2720"/>
      <c r="T65" s="2720"/>
      <c r="U65" s="2720"/>
      <c r="V65" s="2720"/>
      <c r="W65" s="2720"/>
      <c r="X65" s="2720"/>
      <c r="Y65" s="2720"/>
      <c r="Z65" s="2720"/>
      <c r="AA65" s="2720"/>
      <c r="AB65" s="2720"/>
      <c r="AC65" s="2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9"/>
      <c r="O66" s="2749"/>
      <c r="P66" s="2757"/>
      <c r="Q66" s="2734"/>
      <c r="R66" s="2720"/>
      <c r="S66" s="2720"/>
      <c r="T66" s="2720"/>
      <c r="U66" s="2720"/>
      <c r="V66" s="2720"/>
      <c r="W66" s="2720"/>
      <c r="X66" s="2720"/>
      <c r="Y66" s="2720"/>
      <c r="Z66" s="2720"/>
      <c r="AA66" s="2720"/>
      <c r="AB66" s="2720"/>
      <c r="AC66" s="2720"/>
    </row>
    <row r="67" spans="1:29" ht="15.75" thickTop="1">
      <c r="A67" s="482"/>
      <c r="B67" s="494" t="s">
        <v>1811</v>
      </c>
      <c r="C67" s="607" t="s">
        <v>1797</v>
      </c>
      <c r="D67" s="607" t="s">
        <v>1798</v>
      </c>
      <c r="E67" s="607" t="s">
        <v>1799</v>
      </c>
      <c r="F67" s="607" t="s">
        <v>1800</v>
      </c>
      <c r="G67" s="607" t="s">
        <v>1801</v>
      </c>
      <c r="H67" s="487"/>
      <c r="I67" s="487"/>
      <c r="J67" s="487"/>
      <c r="K67" s="487"/>
      <c r="L67" s="487"/>
      <c r="M67" s="1125"/>
      <c r="N67" s="2749"/>
      <c r="O67" s="2749"/>
      <c r="P67" s="2757"/>
      <c r="Q67" s="2734"/>
      <c r="R67" s="2720"/>
      <c r="S67" s="2720"/>
      <c r="T67" s="2720"/>
      <c r="U67" s="2720"/>
      <c r="V67" s="2720"/>
      <c r="W67" s="2720"/>
      <c r="X67" s="2720"/>
      <c r="Y67" s="2720"/>
      <c r="Z67" s="2720"/>
      <c r="AA67" s="2720"/>
      <c r="AB67" s="2720"/>
      <c r="AC67" s="2720"/>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9"/>
      <c r="O68" s="2749"/>
      <c r="P68" s="2757"/>
      <c r="Q68" s="2734"/>
      <c r="R68" s="2720"/>
      <c r="S68" s="2720"/>
      <c r="T68" s="2720"/>
      <c r="U68" s="2720"/>
      <c r="V68" s="2720"/>
      <c r="W68" s="2720"/>
      <c r="X68" s="2720"/>
      <c r="Y68" s="2720"/>
      <c r="Z68" s="2720"/>
      <c r="AA68" s="2720"/>
      <c r="AB68" s="2720"/>
      <c r="AC68" s="2720"/>
    </row>
    <row r="69" spans="1:29" ht="15.75" thickTop="1">
      <c r="A69" s="482"/>
      <c r="B69" s="486" t="s">
        <v>1731</v>
      </c>
      <c r="C69" s="526" t="s">
        <v>1719</v>
      </c>
      <c r="D69" s="526" t="s">
        <v>1720</v>
      </c>
      <c r="E69" s="526" t="s">
        <v>1721</v>
      </c>
      <c r="F69" s="526" t="s">
        <v>1722</v>
      </c>
      <c r="G69" s="526" t="s">
        <v>1723</v>
      </c>
      <c r="H69" s="487"/>
      <c r="I69" s="487"/>
      <c r="J69" s="487"/>
      <c r="K69" s="488"/>
      <c r="L69" s="489"/>
      <c r="M69" s="490"/>
      <c r="N69" s="2748"/>
      <c r="O69" s="2748"/>
      <c r="P69" s="2757"/>
      <c r="Q69" s="2734"/>
      <c r="R69" s="2720"/>
      <c r="S69" s="2720"/>
      <c r="T69" s="2720"/>
      <c r="U69" s="2720"/>
      <c r="V69" s="2720"/>
      <c r="W69" s="2720"/>
      <c r="X69" s="2720"/>
      <c r="Y69" s="2720"/>
      <c r="Z69" s="2720"/>
      <c r="AA69" s="2720"/>
      <c r="AB69" s="2720"/>
      <c r="AC69" s="2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9"/>
      <c r="O70" s="2749"/>
      <c r="P70" s="2757"/>
      <c r="Q70" s="2734"/>
      <c r="R70" s="2720"/>
      <c r="S70" s="2720"/>
      <c r="T70" s="2720"/>
      <c r="U70" s="2720"/>
      <c r="V70" s="2720"/>
      <c r="W70" s="2720"/>
      <c r="X70" s="2720"/>
      <c r="Y70" s="2720"/>
      <c r="Z70" s="2720"/>
      <c r="AA70" s="2720"/>
      <c r="AB70" s="2720"/>
      <c r="AC70" s="2720"/>
    </row>
    <row r="71" spans="1:29" ht="15.75" thickTop="1">
      <c r="A71" s="482"/>
      <c r="B71" s="486" t="s">
        <v>1850</v>
      </c>
      <c r="C71" s="502"/>
      <c r="D71" s="502"/>
      <c r="E71" s="502"/>
      <c r="F71" s="502"/>
      <c r="G71" s="502"/>
      <c r="H71" s="531"/>
      <c r="I71" s="531"/>
      <c r="J71" s="531"/>
      <c r="K71" s="532"/>
      <c r="L71" s="533"/>
      <c r="M71" s="534"/>
      <c r="N71" s="2748"/>
      <c r="O71" s="2748"/>
      <c r="P71" s="2757"/>
      <c r="Q71" s="2734"/>
      <c r="R71" s="2720"/>
      <c r="S71" s="2720"/>
      <c r="T71" s="2720"/>
      <c r="U71" s="2720"/>
      <c r="V71" s="2720"/>
      <c r="W71" s="2720"/>
      <c r="X71" s="2720"/>
      <c r="Y71" s="2720"/>
      <c r="Z71" s="2720"/>
      <c r="AA71" s="2720"/>
      <c r="AB71" s="2720"/>
      <c r="AC71" s="2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9"/>
      <c r="O72" s="2749"/>
      <c r="P72" s="2757"/>
      <c r="Q72" s="2734"/>
      <c r="R72" s="2720"/>
      <c r="S72" s="2720"/>
      <c r="T72" s="2720"/>
      <c r="U72" s="2720"/>
      <c r="V72" s="2720"/>
      <c r="W72" s="2720"/>
      <c r="X72" s="2720"/>
      <c r="Y72" s="2720"/>
      <c r="Z72" s="2720"/>
      <c r="AA72" s="2720"/>
      <c r="AB72" s="2720"/>
      <c r="AC72" s="2720"/>
    </row>
    <row r="73" spans="1:29" s="108" customFormat="1" ht="15.75" thickTop="1">
      <c r="A73" s="527"/>
      <c r="B73" s="486">
        <f>B23</f>
        <v>111</v>
      </c>
      <c r="C73" s="497"/>
      <c r="D73" s="497"/>
      <c r="E73" s="497"/>
      <c r="F73" s="497"/>
      <c r="G73" s="502"/>
      <c r="H73" s="502"/>
      <c r="I73" s="502"/>
      <c r="J73" s="502"/>
      <c r="K73" s="502"/>
      <c r="L73" s="528"/>
      <c r="M73" s="529"/>
      <c r="N73" s="2747"/>
      <c r="O73" s="2747"/>
      <c r="P73" s="2757"/>
      <c r="Q73" s="2734"/>
      <c r="R73" s="2656"/>
      <c r="S73" s="2656"/>
      <c r="T73" s="2656"/>
      <c r="U73" s="2656"/>
      <c r="V73" s="2656"/>
      <c r="W73" s="2656"/>
      <c r="X73" s="2656"/>
      <c r="Y73" s="2656"/>
      <c r="Z73" s="2656"/>
      <c r="AA73" s="2656"/>
      <c r="AB73" s="2656"/>
      <c r="AC73" s="2656"/>
    </row>
    <row r="74" spans="1:29" s="108" customFormat="1" ht="15.75" thickBot="1">
      <c r="A74" s="527"/>
      <c r="B74" s="491"/>
      <c r="C74" s="508"/>
      <c r="D74" s="484"/>
      <c r="E74" s="484"/>
      <c r="F74" s="484"/>
      <c r="G74" s="484"/>
      <c r="H74" s="484"/>
      <c r="I74" s="484"/>
      <c r="J74" s="484"/>
      <c r="K74" s="484"/>
      <c r="L74" s="484"/>
      <c r="M74" s="485"/>
      <c r="N74" s="2749"/>
      <c r="O74" s="2749"/>
      <c r="P74" s="2757"/>
      <c r="Q74" s="2734"/>
      <c r="R74" s="2656"/>
      <c r="S74" s="2656"/>
      <c r="T74" s="2656"/>
      <c r="U74" s="2656"/>
      <c r="V74" s="2656"/>
      <c r="W74" s="2656"/>
      <c r="X74" s="2656"/>
      <c r="Y74" s="2656"/>
      <c r="Z74" s="2656"/>
      <c r="AA74" s="2656"/>
      <c r="AB74" s="2656"/>
      <c r="AC74" s="2656"/>
    </row>
    <row r="75" spans="1:29" s="108" customFormat="1" ht="15.75" thickTop="1">
      <c r="A75" s="527"/>
      <c r="B75" s="486">
        <f>B24</f>
        <v>111</v>
      </c>
      <c r="C75" s="497"/>
      <c r="D75" s="497"/>
      <c r="E75" s="497"/>
      <c r="F75" s="497"/>
      <c r="G75" s="502"/>
      <c r="H75" s="502"/>
      <c r="I75" s="502"/>
      <c r="J75" s="502"/>
      <c r="K75" s="502"/>
      <c r="L75" s="502"/>
      <c r="M75" s="529"/>
      <c r="N75" s="2747"/>
      <c r="O75" s="2747"/>
      <c r="P75" s="2757"/>
      <c r="Q75" s="2734"/>
      <c r="R75" s="2656"/>
      <c r="S75" s="2656"/>
      <c r="T75" s="2656"/>
      <c r="U75" s="2656"/>
      <c r="V75" s="2656"/>
      <c r="W75" s="2656"/>
      <c r="X75" s="2656"/>
      <c r="Y75" s="2656"/>
      <c r="Z75" s="2656"/>
      <c r="AA75" s="2656"/>
      <c r="AB75" s="2656"/>
      <c r="AC75" s="2656"/>
    </row>
    <row r="76" spans="1:29" s="108" customFormat="1" ht="15.75" thickBot="1">
      <c r="A76" s="527"/>
      <c r="B76" s="491"/>
      <c r="C76" s="508"/>
      <c r="D76" s="484"/>
      <c r="E76" s="484"/>
      <c r="F76" s="484"/>
      <c r="G76" s="484"/>
      <c r="H76" s="484"/>
      <c r="I76" s="484"/>
      <c r="J76" s="484"/>
      <c r="K76" s="484"/>
      <c r="L76" s="484"/>
      <c r="M76" s="485"/>
      <c r="N76" s="2749"/>
      <c r="O76" s="2749"/>
      <c r="P76" s="2757"/>
      <c r="Q76" s="2734"/>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50"/>
      <c r="O77" s="2750"/>
      <c r="P77" s="2758"/>
      <c r="Q77" s="2741"/>
      <c r="R77" s="2742"/>
      <c r="S77" s="2742"/>
      <c r="T77" s="2742"/>
      <c r="U77" s="2742"/>
      <c r="V77" s="2742"/>
      <c r="W77" s="2742"/>
      <c r="X77" s="2742"/>
      <c r="Y77" s="2742"/>
      <c r="Z77" s="2742"/>
      <c r="AA77" s="2742"/>
      <c r="AB77" s="2742"/>
      <c r="AC77" s="2742"/>
    </row>
    <row r="78" spans="1:29" s="421" customFormat="1" ht="15.75" thickBot="1">
      <c r="A78" s="501"/>
      <c r="B78" s="491"/>
      <c r="C78" s="508"/>
      <c r="D78" s="508"/>
      <c r="E78" s="508"/>
      <c r="F78" s="508"/>
      <c r="G78" s="484"/>
      <c r="H78" s="484"/>
      <c r="I78" s="484"/>
      <c r="J78" s="484"/>
      <c r="K78" s="484"/>
      <c r="L78" s="484"/>
      <c r="M78" s="485"/>
      <c r="N78" s="2750"/>
      <c r="O78" s="2750"/>
      <c r="P78" s="2758"/>
      <c r="Q78" s="2741"/>
      <c r="R78" s="2742"/>
      <c r="S78" s="2742"/>
      <c r="T78" s="2742"/>
      <c r="U78" s="2742"/>
      <c r="V78" s="2742"/>
      <c r="W78" s="2742"/>
      <c r="X78" s="2742"/>
      <c r="Y78" s="2742"/>
      <c r="Z78" s="2742"/>
      <c r="AA78" s="2742"/>
      <c r="AB78" s="2742"/>
      <c r="AC78" s="2742"/>
    </row>
    <row r="79" spans="1:29" ht="27.75" thickTop="1">
      <c r="A79" s="475" t="s">
        <v>1692</v>
      </c>
      <c r="B79" s="476" t="s">
        <v>1851</v>
      </c>
      <c r="C79" s="477" t="str">
        <f>C26</f>
        <v>车库</v>
      </c>
      <c r="D79" s="478"/>
      <c r="E79" s="478"/>
      <c r="F79" s="478"/>
      <c r="G79" s="478"/>
      <c r="H79" s="478"/>
      <c r="I79" s="478"/>
      <c r="J79" s="478"/>
      <c r="K79" s="479"/>
      <c r="L79" s="480"/>
      <c r="M79" s="481"/>
      <c r="N79" s="2748"/>
      <c r="O79" s="2748"/>
      <c r="P79" s="2757"/>
      <c r="Q79" s="2734"/>
      <c r="R79" s="2720"/>
      <c r="S79" s="2720"/>
      <c r="T79" s="2720"/>
      <c r="U79" s="2720"/>
      <c r="V79" s="2720"/>
      <c r="W79" s="2720"/>
      <c r="X79" s="2720"/>
      <c r="Y79" s="2720"/>
      <c r="Z79" s="2720"/>
      <c r="AA79" s="2720"/>
      <c r="AB79" s="2720"/>
      <c r="AC79" s="2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2"/>
      <c r="B81" s="486" t="s">
        <v>1852</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1" customFormat="1" ht="15.75" thickBot="1">
      <c r="A82" s="501"/>
      <c r="B82" s="491"/>
      <c r="C82" s="508"/>
      <c r="D82" s="484"/>
      <c r="E82" s="484"/>
      <c r="F82" s="484"/>
      <c r="G82" s="484"/>
      <c r="H82" s="484"/>
      <c r="I82" s="484"/>
      <c r="J82" s="484"/>
      <c r="K82" s="484"/>
      <c r="L82" s="484"/>
      <c r="M82" s="485"/>
      <c r="N82" s="2749"/>
      <c r="O82" s="2749"/>
      <c r="P82" s="2758"/>
      <c r="Q82" s="2741"/>
      <c r="R82" s="2742"/>
      <c r="S82" s="2742"/>
      <c r="T82" s="2742"/>
      <c r="U82" s="2742"/>
      <c r="V82" s="2742"/>
      <c r="W82" s="2742"/>
      <c r="X82" s="2742"/>
      <c r="Y82" s="2742"/>
      <c r="Z82" s="2742"/>
      <c r="AA82" s="2742"/>
      <c r="AB82" s="2742"/>
      <c r="AC82" s="2742"/>
    </row>
    <row r="83" spans="1:29" ht="15" thickTop="1">
      <c r="A83" s="547"/>
      <c r="B83" s="486" t="s">
        <v>1738</v>
      </c>
      <c r="C83" s="502"/>
      <c r="D83" s="502"/>
      <c r="E83" s="531"/>
      <c r="F83" s="531"/>
      <c r="G83" s="531"/>
      <c r="H83" s="531"/>
      <c r="I83" s="531"/>
      <c r="J83" s="531"/>
      <c r="K83" s="532"/>
      <c r="L83" s="533"/>
      <c r="M83" s="534"/>
      <c r="N83" s="2748"/>
      <c r="O83" s="2748"/>
      <c r="P83" s="2757"/>
      <c r="Q83" s="2734"/>
      <c r="R83" s="2720"/>
      <c r="S83" s="2720"/>
      <c r="T83" s="2720"/>
      <c r="U83" s="2720"/>
      <c r="V83" s="2720"/>
      <c r="W83" s="2720"/>
      <c r="X83" s="2720"/>
      <c r="Y83" s="2720"/>
      <c r="Z83" s="2720"/>
      <c r="AA83" s="2720"/>
      <c r="AB83" s="2720"/>
      <c r="AC83" s="2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7"/>
      <c r="B85" s="486" t="s">
        <v>1853</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8"/>
      <c r="O85" s="2748"/>
      <c r="P85" s="2757"/>
      <c r="Q85" s="2734"/>
      <c r="R85" s="2720"/>
      <c r="S85" s="2720"/>
      <c r="T85" s="2720"/>
      <c r="U85" s="2720"/>
      <c r="V85" s="2720"/>
      <c r="W85" s="2720"/>
      <c r="X85" s="2720"/>
      <c r="Y85" s="2720"/>
      <c r="Z85" s="2720"/>
      <c r="AA85" s="2720"/>
      <c r="AB85" s="2720"/>
      <c r="AC85" s="2720"/>
    </row>
    <row r="86" spans="1:29">
      <c r="A86" s="547"/>
      <c r="B86" s="494"/>
      <c r="C86" s="551">
        <v>0.5</v>
      </c>
      <c r="D86" s="551">
        <v>0.6</v>
      </c>
      <c r="E86" s="551">
        <v>0.7</v>
      </c>
      <c r="F86" s="551">
        <v>0.8</v>
      </c>
      <c r="G86" s="551">
        <v>0.9</v>
      </c>
      <c r="H86" s="551">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7"/>
      <c r="B88" s="494" t="s">
        <v>1854</v>
      </c>
      <c r="C88" s="478"/>
      <c r="D88" s="478"/>
      <c r="E88" s="478"/>
      <c r="F88" s="478"/>
      <c r="G88" s="478"/>
      <c r="H88" s="478"/>
      <c r="I88" s="478"/>
      <c r="J88" s="478"/>
      <c r="K88" s="479"/>
      <c r="L88" s="480"/>
      <c r="M88" s="481"/>
      <c r="N88" s="2748"/>
      <c r="O88" s="2748"/>
      <c r="P88" s="2757"/>
      <c r="Q88" s="2734"/>
      <c r="R88" s="2720"/>
      <c r="S88" s="2720"/>
      <c r="T88" s="2720"/>
      <c r="U88" s="2720"/>
      <c r="V88" s="2720"/>
      <c r="W88" s="2720"/>
      <c r="X88" s="2720"/>
      <c r="Y88" s="2720"/>
      <c r="Z88" s="2720"/>
      <c r="AA88" s="2720"/>
      <c r="AB88" s="2720"/>
      <c r="AC88" s="2720"/>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9"/>
      <c r="O89" s="2749"/>
      <c r="P89" s="2757"/>
      <c r="Q89" s="2734"/>
      <c r="R89" s="2720"/>
      <c r="S89" s="2720"/>
      <c r="T89" s="2720"/>
      <c r="U89" s="2720"/>
      <c r="V89" s="2720"/>
      <c r="W89" s="2720"/>
      <c r="X89" s="2720"/>
      <c r="Y89" s="2720"/>
      <c r="Z89" s="2720"/>
      <c r="AA89" s="2720"/>
      <c r="AB89" s="2720"/>
      <c r="AC89" s="2720"/>
    </row>
    <row r="90" spans="1:29" s="421" customFormat="1" ht="15" thickTop="1">
      <c r="A90" s="541"/>
      <c r="B90" s="486" t="s">
        <v>1855</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1" customFormat="1">
      <c r="A91" s="541"/>
      <c r="B91" s="494"/>
      <c r="C91" s="543"/>
      <c r="D91" s="543"/>
      <c r="E91" s="543"/>
      <c r="F91" s="543"/>
      <c r="G91" s="543"/>
      <c r="H91" s="543"/>
      <c r="I91" s="543"/>
      <c r="J91" s="544"/>
      <c r="K91" s="544"/>
      <c r="L91" s="545"/>
      <c r="M91" s="546"/>
      <c r="N91" s="2750"/>
      <c r="O91" s="2750"/>
      <c r="P91" s="2758"/>
      <c r="Q91" s="2741"/>
      <c r="R91" s="2742"/>
      <c r="S91" s="2742"/>
      <c r="T91" s="2742"/>
      <c r="U91" s="2742"/>
      <c r="V91" s="2742"/>
      <c r="W91" s="2742"/>
      <c r="X91" s="2742"/>
      <c r="Y91" s="2742"/>
      <c r="Z91" s="2742"/>
      <c r="AA91" s="2742"/>
      <c r="AB91" s="2742"/>
      <c r="AC91" s="2742"/>
    </row>
    <row r="92" spans="1:29" s="421" customFormat="1" ht="15.75" thickBot="1">
      <c r="A92" s="501"/>
      <c r="B92" s="491"/>
      <c r="C92" s="508"/>
      <c r="D92" s="484"/>
      <c r="E92" s="484"/>
      <c r="F92" s="484"/>
      <c r="G92" s="484"/>
      <c r="H92" s="484"/>
      <c r="I92" s="484"/>
      <c r="J92" s="484"/>
      <c r="K92" s="484"/>
      <c r="L92" s="484"/>
      <c r="M92" s="485"/>
      <c r="N92" s="2750"/>
      <c r="O92" s="2750"/>
      <c r="P92" s="2758"/>
      <c r="Q92" s="2741"/>
      <c r="R92" s="2742"/>
      <c r="S92" s="2742"/>
      <c r="T92" s="2742"/>
      <c r="U92" s="2742"/>
      <c r="V92" s="2742"/>
      <c r="W92" s="2742"/>
      <c r="X92" s="2742"/>
      <c r="Y92" s="2742"/>
      <c r="Z92" s="2742"/>
      <c r="AA92" s="2742"/>
      <c r="AB92" s="2742"/>
      <c r="AC92" s="2742"/>
    </row>
    <row r="93" spans="1:29" ht="15" thickTop="1">
      <c r="A93" s="547"/>
      <c r="B93" s="486" t="s">
        <v>1856</v>
      </c>
      <c r="C93" s="502"/>
      <c r="D93" s="502"/>
      <c r="E93" s="531"/>
      <c r="F93" s="531"/>
      <c r="G93" s="531"/>
      <c r="H93" s="531"/>
      <c r="I93" s="531"/>
      <c r="J93" s="531"/>
      <c r="K93" s="532"/>
      <c r="L93" s="533"/>
      <c r="M93" s="534"/>
      <c r="N93" s="2748"/>
      <c r="O93" s="2748"/>
      <c r="P93" s="2757"/>
      <c r="Q93" s="2734"/>
      <c r="R93" s="2720"/>
      <c r="S93" s="2720"/>
      <c r="T93" s="2720"/>
      <c r="U93" s="2720"/>
      <c r="V93" s="2720"/>
      <c r="W93" s="2720"/>
      <c r="X93" s="2720"/>
      <c r="Y93" s="2720"/>
      <c r="Z93" s="2720"/>
      <c r="AA93" s="2720"/>
      <c r="AB93" s="2720"/>
      <c r="AC93" s="2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7"/>
      <c r="B95" s="486" t="s">
        <v>1857</v>
      </c>
      <c r="C95" s="478"/>
      <c r="D95" s="478"/>
      <c r="E95" s="478"/>
      <c r="F95" s="478"/>
      <c r="G95" s="478"/>
      <c r="H95" s="478"/>
      <c r="I95" s="478"/>
      <c r="J95" s="478"/>
      <c r="K95" s="479"/>
      <c r="L95" s="480"/>
      <c r="M95" s="481"/>
      <c r="N95" s="2748"/>
      <c r="O95" s="2748"/>
      <c r="P95" s="2757"/>
      <c r="Q95" s="2734"/>
      <c r="R95" s="2720"/>
      <c r="S95" s="2720"/>
      <c r="T95" s="2720"/>
      <c r="U95" s="2720"/>
      <c r="V95" s="2720"/>
      <c r="W95" s="2720"/>
      <c r="X95" s="2720"/>
      <c r="Y95" s="2720"/>
      <c r="Z95" s="2720"/>
      <c r="AA95" s="2720"/>
      <c r="AB95" s="2720"/>
      <c r="AC95" s="2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9"/>
      <c r="O96" s="2749"/>
      <c r="P96" s="2757"/>
      <c r="Q96" s="2734"/>
      <c r="R96" s="2720"/>
      <c r="S96" s="2720"/>
      <c r="T96" s="2720"/>
      <c r="U96" s="2720"/>
      <c r="V96" s="2720"/>
      <c r="W96" s="2720"/>
      <c r="X96" s="2720"/>
      <c r="Y96" s="2720"/>
      <c r="Z96" s="2720"/>
      <c r="AA96" s="2720"/>
      <c r="AB96" s="2720"/>
      <c r="AC96" s="2720"/>
    </row>
    <row r="97" spans="1:29" ht="15" thickTop="1">
      <c r="A97" s="547"/>
      <c r="B97" s="583">
        <f>B34</f>
        <v>111</v>
      </c>
      <c r="C97" s="497"/>
      <c r="D97" s="497"/>
      <c r="E97" s="497"/>
      <c r="F97" s="497"/>
      <c r="G97" s="502"/>
      <c r="H97" s="503"/>
      <c r="I97" s="503"/>
      <c r="J97" s="503"/>
      <c r="K97" s="503"/>
      <c r="L97" s="504"/>
      <c r="M97" s="505"/>
      <c r="N97" s="2749"/>
      <c r="O97" s="2749"/>
      <c r="P97" s="2762"/>
      <c r="Q97" s="2763"/>
      <c r="R97" s="2720"/>
      <c r="S97" s="2720"/>
      <c r="T97" s="2720"/>
      <c r="U97" s="2720"/>
      <c r="V97" s="2720"/>
      <c r="W97" s="2720"/>
      <c r="X97" s="2720"/>
      <c r="Y97" s="2720"/>
      <c r="Z97" s="2720"/>
      <c r="AA97" s="2720"/>
      <c r="AB97" s="2720"/>
      <c r="AC97" s="2720"/>
    </row>
    <row r="98" spans="1:29" ht="15.75" thickBot="1">
      <c r="A98" s="482"/>
      <c r="B98" s="491"/>
      <c r="C98" s="508"/>
      <c r="D98" s="484"/>
      <c r="E98" s="484"/>
      <c r="F98" s="484"/>
      <c r="G98" s="508"/>
      <c r="H98" s="510"/>
      <c r="I98" s="510"/>
      <c r="J98" s="510"/>
      <c r="K98" s="510"/>
      <c r="L98" s="510"/>
      <c r="M98" s="511"/>
      <c r="N98" s="2749"/>
      <c r="O98" s="2749"/>
      <c r="P98" s="2757"/>
      <c r="Q98" s="2734"/>
      <c r="R98" s="2720"/>
      <c r="S98" s="2720"/>
      <c r="T98" s="2720"/>
      <c r="U98" s="2720"/>
      <c r="V98" s="2720"/>
      <c r="W98" s="2720"/>
      <c r="X98" s="2720"/>
      <c r="Y98" s="2720"/>
      <c r="Z98" s="2720"/>
      <c r="AA98" s="2720"/>
      <c r="AB98" s="2720"/>
      <c r="AC98" s="2720"/>
    </row>
    <row r="99" spans="1:29" s="421" customFormat="1" ht="15" thickTop="1">
      <c r="A99" s="541"/>
      <c r="B99" s="486">
        <f>B35</f>
        <v>111</v>
      </c>
      <c r="C99" s="497"/>
      <c r="D99" s="497"/>
      <c r="E99" s="497"/>
      <c r="F99" s="497"/>
      <c r="G99" s="502"/>
      <c r="H99" s="503"/>
      <c r="I99" s="503"/>
      <c r="J99" s="503"/>
      <c r="K99" s="503"/>
      <c r="L99" s="504"/>
      <c r="M99" s="505"/>
      <c r="N99" s="2750"/>
      <c r="O99" s="2750"/>
      <c r="P99" s="2758"/>
      <c r="Q99" s="2741"/>
      <c r="R99" s="2742"/>
      <c r="S99" s="2742"/>
      <c r="T99" s="2742"/>
      <c r="U99" s="2742"/>
      <c r="V99" s="2742"/>
      <c r="W99" s="2742"/>
      <c r="X99" s="2742"/>
      <c r="Y99" s="2742"/>
      <c r="Z99" s="2742"/>
      <c r="AA99" s="2742"/>
      <c r="AB99" s="2742"/>
      <c r="AC99" s="2742"/>
    </row>
    <row r="100" spans="1:29" s="421" customFormat="1" ht="15.75" thickBot="1">
      <c r="A100" s="501"/>
      <c r="B100" s="483"/>
      <c r="C100" s="508"/>
      <c r="D100" s="484"/>
      <c r="E100" s="484"/>
      <c r="F100" s="484"/>
      <c r="G100" s="508"/>
      <c r="H100" s="510"/>
      <c r="I100" s="510"/>
      <c r="J100" s="510"/>
      <c r="K100" s="510"/>
      <c r="L100" s="510"/>
      <c r="M100" s="511"/>
      <c r="N100" s="2750"/>
      <c r="O100" s="2750"/>
      <c r="P100" s="2758"/>
      <c r="Q100" s="2741"/>
      <c r="R100" s="2742"/>
      <c r="S100" s="2742"/>
      <c r="T100" s="2742"/>
      <c r="U100" s="2742"/>
      <c r="V100" s="2742"/>
      <c r="W100" s="2742"/>
      <c r="X100" s="2742"/>
      <c r="Y100" s="2742"/>
      <c r="Z100" s="2742"/>
      <c r="AA100" s="2742"/>
      <c r="AB100" s="2742"/>
      <c r="AC100" s="2742"/>
    </row>
    <row r="101" spans="1:29" ht="15" thickTop="1">
      <c r="A101" s="547"/>
      <c r="B101" s="486">
        <f>B36</f>
        <v>111</v>
      </c>
      <c r="C101" s="502"/>
      <c r="D101" s="502"/>
      <c r="E101" s="502"/>
      <c r="F101" s="502"/>
      <c r="G101" s="502"/>
      <c r="H101" s="503"/>
      <c r="I101" s="503"/>
      <c r="J101" s="503"/>
      <c r="K101" s="503"/>
      <c r="L101" s="504"/>
      <c r="M101" s="505"/>
      <c r="N101" s="2748"/>
      <c r="O101" s="2748"/>
      <c r="P101" s="2757"/>
      <c r="Q101" s="2734"/>
      <c r="R101" s="2720"/>
      <c r="S101" s="2720"/>
      <c r="T101" s="2720"/>
      <c r="U101" s="2720"/>
      <c r="V101" s="2720"/>
      <c r="W101" s="2720"/>
      <c r="X101" s="2720"/>
      <c r="Y101" s="2720"/>
      <c r="Z101" s="2720"/>
      <c r="AA101" s="2720"/>
      <c r="AB101" s="2720"/>
      <c r="AC101" s="2720"/>
    </row>
    <row r="102" spans="1:29" ht="15.75" thickBot="1">
      <c r="A102" s="482"/>
      <c r="B102" s="491"/>
      <c r="C102" s="508"/>
      <c r="D102" s="508"/>
      <c r="E102" s="508"/>
      <c r="F102" s="508"/>
      <c r="G102" s="508"/>
      <c r="H102" s="510"/>
      <c r="I102" s="510"/>
      <c r="J102" s="510"/>
      <c r="K102" s="510"/>
      <c r="L102" s="510"/>
      <c r="M102" s="511"/>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1829</v>
      </c>
      <c r="B1" s="1218" t="s">
        <v>3335</v>
      </c>
      <c r="C1" s="1219" t="s">
        <v>1660</v>
      </c>
      <c r="D1" s="1220"/>
      <c r="E1" s="3428"/>
      <c r="F1" s="1874"/>
      <c r="G1" s="1230" t="s">
        <v>1765</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1460</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1461</v>
      </c>
      <c r="F2" s="1878"/>
      <c r="G2" s="904"/>
      <c r="H2" s="904"/>
      <c r="I2" s="904"/>
      <c r="J2" s="904"/>
      <c r="K2" s="906"/>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1462</v>
      </c>
      <c r="B3" s="557" t="e">
        <f>IF(C2="——",C37,ROUND(B2*10000/D3,0))</f>
        <v>#DIV/0!</v>
      </c>
      <c r="C3" s="353" t="s">
        <v>1766</v>
      </c>
      <c r="D3" s="352">
        <f>SUMIF('数据-汇总表'!$C19:$C33,D1,'数据-汇总表'!$E19:$E33)</f>
        <v>0</v>
      </c>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29" ht="15">
      <c r="A4" s="354" t="s">
        <v>1767</v>
      </c>
      <c r="B4" s="355"/>
      <c r="C4" s="3720" t="s">
        <v>1768</v>
      </c>
      <c r="D4" s="3721"/>
      <c r="E4" s="3722" t="s">
        <v>1769</v>
      </c>
      <c r="F4" s="3723"/>
      <c r="G4" s="3720" t="s">
        <v>1770</v>
      </c>
      <c r="H4" s="3721"/>
      <c r="I4" s="3720" t="s">
        <v>1771</v>
      </c>
      <c r="J4" s="3721"/>
      <c r="K4" s="558" t="s">
        <v>1772</v>
      </c>
      <c r="L4" s="2710"/>
      <c r="M4" s="2711"/>
      <c r="N4" s="2711"/>
      <c r="O4" s="2711"/>
      <c r="P4" s="3724" t="s">
        <v>1773</v>
      </c>
      <c r="Q4" s="3725"/>
      <c r="R4" s="3730" t="s">
        <v>1769</v>
      </c>
      <c r="S4" s="3731"/>
      <c r="T4" s="3730" t="s">
        <v>1770</v>
      </c>
      <c r="U4" s="3731"/>
      <c r="V4" s="3736" t="s">
        <v>1771</v>
      </c>
      <c r="W4" s="3736"/>
      <c r="X4" s="1350"/>
      <c r="Y4" s="3730" t="s">
        <v>1773</v>
      </c>
      <c r="Z4" s="3731"/>
      <c r="AA4" s="3717" t="s">
        <v>1769</v>
      </c>
      <c r="AB4" s="3718" t="s">
        <v>1770</v>
      </c>
      <c r="AC4" s="3717" t="s">
        <v>1771</v>
      </c>
    </row>
    <row r="5" spans="1:29" ht="15">
      <c r="A5" s="357"/>
      <c r="B5" s="358"/>
      <c r="C5" s="3739" t="s">
        <v>1671</v>
      </c>
      <c r="D5" s="3740"/>
      <c r="E5" s="3746" t="s">
        <v>1672</v>
      </c>
      <c r="F5" s="3747"/>
      <c r="G5" s="3739" t="s">
        <v>1673</v>
      </c>
      <c r="H5" s="3740"/>
      <c r="I5" s="3739" t="s">
        <v>1674</v>
      </c>
      <c r="J5" s="3740"/>
      <c r="K5" s="558"/>
      <c r="L5" s="2710"/>
      <c r="M5" s="2711"/>
      <c r="N5" s="2711"/>
      <c r="O5" s="2711"/>
      <c r="P5" s="3726"/>
      <c r="Q5" s="3727"/>
      <c r="R5" s="3732"/>
      <c r="S5" s="3733"/>
      <c r="T5" s="3732"/>
      <c r="U5" s="3733"/>
      <c r="V5" s="3736"/>
      <c r="W5" s="3736"/>
      <c r="X5" s="1350"/>
      <c r="Y5" s="3732"/>
      <c r="Z5" s="3733"/>
      <c r="AA5" s="3718"/>
      <c r="AB5" s="3718"/>
      <c r="AC5" s="3718"/>
    </row>
    <row r="6" spans="1:29" ht="15.75" thickBot="1">
      <c r="A6" s="359"/>
      <c r="B6" s="360"/>
      <c r="C6" s="3737" t="s">
        <v>1675</v>
      </c>
      <c r="D6" s="3738"/>
      <c r="E6" s="3744" t="s">
        <v>1675</v>
      </c>
      <c r="F6" s="3745"/>
      <c r="G6" s="3737" t="s">
        <v>1675</v>
      </c>
      <c r="H6" s="3738"/>
      <c r="I6" s="3737" t="s">
        <v>1675</v>
      </c>
      <c r="J6" s="3738"/>
      <c r="K6" s="558" t="s">
        <v>1676</v>
      </c>
      <c r="L6" s="2710"/>
      <c r="M6" s="2711"/>
      <c r="N6" s="2711"/>
      <c r="O6" s="2711"/>
      <c r="P6" s="3728"/>
      <c r="Q6" s="3729"/>
      <c r="R6" s="3732"/>
      <c r="S6" s="3733"/>
      <c r="T6" s="3734"/>
      <c r="U6" s="3735"/>
      <c r="V6" s="3736"/>
      <c r="W6" s="3736"/>
      <c r="X6" s="1350"/>
      <c r="Y6" s="3734"/>
      <c r="Z6" s="3735"/>
      <c r="AA6" s="3719"/>
      <c r="AB6" s="3719"/>
      <c r="AC6" s="3719"/>
    </row>
    <row r="7" spans="1:29" s="108" customFormat="1" ht="15.75" thickBot="1">
      <c r="A7" s="361" t="s">
        <v>1677</v>
      </c>
      <c r="B7" s="362"/>
      <c r="C7" s="363">
        <f>'数据-取费表'!B2</f>
        <v>45322</v>
      </c>
      <c r="D7" s="364">
        <v>100</v>
      </c>
      <c r="E7" s="365"/>
      <c r="F7" s="366">
        <f>SUMIF(46:46,YEAR(E7)&amp;"-"&amp;MONTH(E7),47:47)</f>
        <v>0</v>
      </c>
      <c r="G7" s="1969"/>
      <c r="H7" s="364">
        <f>SUMIF(46:46,YEAR(G7)&amp;"-"&amp;MONTH(G7),47:47)</f>
        <v>0</v>
      </c>
      <c r="I7" s="365"/>
      <c r="J7" s="364">
        <f>SUMIF(46:46,YEAR(I7)&amp;"-"&amp;MONTH(I7),47:47)</f>
        <v>0</v>
      </c>
      <c r="K7" s="559"/>
      <c r="L7" s="2712"/>
      <c r="M7" s="2713"/>
      <c r="N7" s="2713"/>
      <c r="O7" s="2713"/>
      <c r="P7" s="3741" t="s">
        <v>1678</v>
      </c>
      <c r="Q7" s="3743"/>
      <c r="R7" s="699" t="s">
        <v>14</v>
      </c>
      <c r="S7" s="700">
        <f t="shared" ref="S7:S14" si="0">F7</f>
        <v>0</v>
      </c>
      <c r="T7" s="699" t="s">
        <v>14</v>
      </c>
      <c r="U7" s="700">
        <f t="shared" ref="U7:U14" si="1">H7</f>
        <v>0</v>
      </c>
      <c r="V7" s="699" t="s">
        <v>14</v>
      </c>
      <c r="W7" s="700">
        <f t="shared" ref="W7:W14" si="2">J7</f>
        <v>0</v>
      </c>
      <c r="X7" s="701"/>
      <c r="Y7" s="3741" t="s">
        <v>1678</v>
      </c>
      <c r="Z7" s="3742"/>
      <c r="AA7" s="702" t="e">
        <f>D7/F7</f>
        <v>#DIV/0!</v>
      </c>
      <c r="AB7" s="702" t="e">
        <f>D7/H7</f>
        <v>#DIV/0!</v>
      </c>
      <c r="AC7" s="702" t="e">
        <f>D7/J7</f>
        <v>#DIV/0!</v>
      </c>
    </row>
    <row r="8" spans="1:29" s="108" customFormat="1" ht="15.75" thickBot="1">
      <c r="A8" s="361" t="s">
        <v>1679</v>
      </c>
      <c r="B8" s="362"/>
      <c r="C8" s="367"/>
      <c r="D8" s="364">
        <v>100</v>
      </c>
      <c r="E8" s="367"/>
      <c r="F8" s="366">
        <f>SUMIF(49:49,E8,50:50)-SUMIF(49:49,C8,50:50)+100</f>
        <v>100</v>
      </c>
      <c r="G8" s="367"/>
      <c r="H8" s="364">
        <f>SUMIF(49:49,G8,50:50)-SUMIF(49:49,C8,50:50)+100</f>
        <v>100</v>
      </c>
      <c r="I8" s="367"/>
      <c r="J8" s="364">
        <f>SUMIF(49:49,I8,50:50)-SUMIF(49:49,C8,50:50)+100</f>
        <v>100</v>
      </c>
      <c r="K8" s="559"/>
      <c r="L8" s="2712"/>
      <c r="M8" s="2713"/>
      <c r="N8" s="2713"/>
      <c r="O8" s="2713"/>
      <c r="P8" s="3741" t="s">
        <v>1681</v>
      </c>
      <c r="Q8" s="3742"/>
      <c r="R8" s="699" t="s">
        <v>14</v>
      </c>
      <c r="S8" s="700">
        <f t="shared" si="0"/>
        <v>100</v>
      </c>
      <c r="T8" s="699" t="s">
        <v>14</v>
      </c>
      <c r="U8" s="700">
        <f t="shared" si="1"/>
        <v>100</v>
      </c>
      <c r="V8" s="699" t="s">
        <v>14</v>
      </c>
      <c r="W8" s="700">
        <f t="shared" si="2"/>
        <v>100</v>
      </c>
      <c r="X8" s="701"/>
      <c r="Y8" s="3741" t="s">
        <v>1681</v>
      </c>
      <c r="Z8" s="3742"/>
      <c r="AA8" s="702">
        <f t="shared" ref="AA8:AA34" si="3">D8/F8</f>
        <v>1</v>
      </c>
      <c r="AB8" s="702">
        <f t="shared" ref="AB8:AB34" si="4">D8/H8</f>
        <v>1</v>
      </c>
      <c r="AC8" s="702">
        <f t="shared" ref="AC8:AC34" si="5">D8/J8</f>
        <v>1</v>
      </c>
    </row>
    <row r="9" spans="1:29" s="108" customFormat="1">
      <c r="A9" s="368" t="s">
        <v>1682</v>
      </c>
      <c r="B9" s="63" t="s">
        <v>1683</v>
      </c>
      <c r="C9" s="369"/>
      <c r="D9" s="125">
        <v>100</v>
      </c>
      <c r="E9" s="372"/>
      <c r="F9" s="371">
        <f>SUMIF(51:51,E9,52:52)-SUMIF(51:51,C9,52:52)+100</f>
        <v>100</v>
      </c>
      <c r="G9" s="372"/>
      <c r="H9" s="125">
        <f>SUMIF(51:51,G9,52:52)-SUMIF(51:51,C9,52:52)+100</f>
        <v>100</v>
      </c>
      <c r="I9" s="372"/>
      <c r="J9" s="125">
        <f>SUMIF(51:51,I9,52:52)-SUMIF(51:51,C9,52:52)+100</f>
        <v>100</v>
      </c>
      <c r="K9" s="559"/>
      <c r="L9" s="2712"/>
      <c r="M9" s="2713"/>
      <c r="N9" s="2713"/>
      <c r="O9" s="2767"/>
      <c r="P9" s="3705" t="s">
        <v>1684</v>
      </c>
      <c r="Q9" s="1338" t="str">
        <f t="shared" ref="Q9:Q14" si="6">B9</f>
        <v>用途</v>
      </c>
      <c r="R9" s="699" t="s">
        <v>14</v>
      </c>
      <c r="S9" s="700">
        <f t="shared" si="0"/>
        <v>100</v>
      </c>
      <c r="T9" s="699" t="s">
        <v>14</v>
      </c>
      <c r="U9" s="700">
        <f t="shared" si="1"/>
        <v>100</v>
      </c>
      <c r="V9" s="699" t="s">
        <v>14</v>
      </c>
      <c r="W9" s="700">
        <f t="shared" si="2"/>
        <v>100</v>
      </c>
      <c r="X9" s="701"/>
      <c r="Y9" s="3579" t="s">
        <v>1685</v>
      </c>
      <c r="Z9" s="52" t="str">
        <f t="shared" ref="Z9:Z14" si="7">Q9</f>
        <v>用途</v>
      </c>
      <c r="AA9" s="702">
        <f t="shared" si="3"/>
        <v>1</v>
      </c>
      <c r="AB9" s="702">
        <f t="shared" si="4"/>
        <v>1</v>
      </c>
      <c r="AC9" s="702">
        <f t="shared" si="5"/>
        <v>1</v>
      </c>
    </row>
    <row r="10" spans="1:29" s="377" customFormat="1" ht="27">
      <c r="A10" s="373"/>
      <c r="B10" s="374" t="s">
        <v>1686</v>
      </c>
      <c r="C10" s="3429"/>
      <c r="D10" s="126">
        <v>100</v>
      </c>
      <c r="E10" s="3429"/>
      <c r="F10" s="375">
        <f>SUMIF(53:53,E10,54:54)-SUMIF(53:53,C10,54:54)+100</f>
        <v>100</v>
      </c>
      <c r="G10" s="3429"/>
      <c r="H10" s="126">
        <f>SUMIF(53:53,G10,54:54)-SUMIF(53:53,C10,54:54)+100</f>
        <v>100</v>
      </c>
      <c r="I10" s="3429"/>
      <c r="J10" s="126">
        <f>SUMIF(53:53,I10,54:54)-SUMIF(53:53,C10,54:54)+100</f>
        <v>100</v>
      </c>
      <c r="K10" s="559"/>
      <c r="L10" s="2714"/>
      <c r="M10" s="2715"/>
      <c r="N10" s="2715"/>
      <c r="O10" s="2768"/>
      <c r="P10" s="3705"/>
      <c r="Q10" s="1338" t="str">
        <f t="shared" si="6"/>
        <v>土地使用年限（年）</v>
      </c>
      <c r="R10" s="699" t="s">
        <v>14</v>
      </c>
      <c r="S10" s="700">
        <f t="shared" si="0"/>
        <v>100</v>
      </c>
      <c r="T10" s="699" t="s">
        <v>14</v>
      </c>
      <c r="U10" s="700">
        <f t="shared" si="1"/>
        <v>100</v>
      </c>
      <c r="V10" s="699" t="s">
        <v>14</v>
      </c>
      <c r="W10" s="700">
        <f t="shared" si="2"/>
        <v>100</v>
      </c>
      <c r="X10" s="701"/>
      <c r="Y10" s="3579"/>
      <c r="Z10" s="52" t="str">
        <f t="shared" si="7"/>
        <v>土地使用年限（年）</v>
      </c>
      <c r="AA10" s="702">
        <f t="shared" si="3"/>
        <v>1</v>
      </c>
      <c r="AB10" s="702">
        <f t="shared" si="4"/>
        <v>1</v>
      </c>
      <c r="AC10" s="702">
        <f t="shared" si="5"/>
        <v>1</v>
      </c>
    </row>
    <row r="11" spans="1:29" ht="15">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61"/>
      <c r="L11" s="2716"/>
      <c r="M11" s="2711"/>
      <c r="N11" s="2711"/>
      <c r="O11" s="2769"/>
      <c r="P11" s="3705"/>
      <c r="Q11" s="1338">
        <f t="shared" si="6"/>
        <v>111</v>
      </c>
      <c r="R11" s="699" t="s">
        <v>14</v>
      </c>
      <c r="S11" s="700">
        <f t="shared" si="0"/>
        <v>100</v>
      </c>
      <c r="T11" s="699" t="s">
        <v>14</v>
      </c>
      <c r="U11" s="700">
        <f t="shared" si="1"/>
        <v>100</v>
      </c>
      <c r="V11" s="699" t="s">
        <v>14</v>
      </c>
      <c r="W11" s="700">
        <f t="shared" si="2"/>
        <v>100</v>
      </c>
      <c r="X11" s="701"/>
      <c r="Y11" s="3579"/>
      <c r="Z11" s="52">
        <f t="shared" si="7"/>
        <v>111</v>
      </c>
      <c r="AA11" s="702">
        <f t="shared" si="3"/>
        <v>1</v>
      </c>
      <c r="AB11" s="702">
        <f t="shared" si="4"/>
        <v>1</v>
      </c>
      <c r="AC11" s="702">
        <f t="shared" si="5"/>
        <v>1</v>
      </c>
    </row>
    <row r="12" spans="1:29" s="108" customFormat="1" ht="15">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61"/>
      <c r="L12" s="2712"/>
      <c r="M12" s="2713"/>
      <c r="N12" s="2713"/>
      <c r="O12" s="2767"/>
      <c r="P12" s="3705"/>
      <c r="Q12" s="1338">
        <f t="shared" si="6"/>
        <v>111</v>
      </c>
      <c r="R12" s="699" t="s">
        <v>14</v>
      </c>
      <c r="S12" s="700">
        <f t="shared" si="0"/>
        <v>100</v>
      </c>
      <c r="T12" s="699" t="s">
        <v>14</v>
      </c>
      <c r="U12" s="700">
        <f t="shared" si="1"/>
        <v>100</v>
      </c>
      <c r="V12" s="699" t="s">
        <v>14</v>
      </c>
      <c r="W12" s="700">
        <f t="shared" si="2"/>
        <v>100</v>
      </c>
      <c r="X12" s="701"/>
      <c r="Y12" s="3579"/>
      <c r="Z12" s="52">
        <f t="shared" si="7"/>
        <v>111</v>
      </c>
      <c r="AA12" s="702">
        <f>D12/F12</f>
        <v>1</v>
      </c>
      <c r="AB12" s="702">
        <f>D12/H12</f>
        <v>1</v>
      </c>
      <c r="AC12" s="702">
        <f>D12/J12</f>
        <v>1</v>
      </c>
    </row>
    <row r="13" spans="1:29" ht="15.75" thickBot="1">
      <c r="A13" s="378"/>
      <c r="B13" s="1888">
        <v>111</v>
      </c>
      <c r="C13" s="384"/>
      <c r="D13" s="385">
        <v>100</v>
      </c>
      <c r="E13" s="419"/>
      <c r="F13" s="375">
        <f>SUMIF(59:59,E13,60:60)-SUMIF(59:59,C13,60:60)+100</f>
        <v>100</v>
      </c>
      <c r="G13" s="1970"/>
      <c r="H13" s="388">
        <f>SUMIF(59:59,G13,60:60)-SUMIF(59:59,C13,60:60)+100</f>
        <v>100</v>
      </c>
      <c r="I13" s="419"/>
      <c r="J13" s="385">
        <f>SUMIF(59:59,I13,60:60)-SUMIF(59:59,C13,60:60)+100</f>
        <v>100</v>
      </c>
      <c r="K13" s="561"/>
      <c r="L13" s="2717"/>
      <c r="M13" s="2711"/>
      <c r="N13" s="2711"/>
      <c r="O13" s="2769"/>
      <c r="P13" s="3705"/>
      <c r="Q13" s="1338">
        <f t="shared" si="6"/>
        <v>111</v>
      </c>
      <c r="R13" s="699" t="s">
        <v>14</v>
      </c>
      <c r="S13" s="700">
        <f t="shared" si="0"/>
        <v>100</v>
      </c>
      <c r="T13" s="699" t="s">
        <v>14</v>
      </c>
      <c r="U13" s="700">
        <f t="shared" si="1"/>
        <v>100</v>
      </c>
      <c r="V13" s="699" t="s">
        <v>14</v>
      </c>
      <c r="W13" s="700">
        <f t="shared" si="2"/>
        <v>100</v>
      </c>
      <c r="X13" s="701"/>
      <c r="Y13" s="3579"/>
      <c r="Z13" s="52">
        <f t="shared" si="7"/>
        <v>111</v>
      </c>
      <c r="AA13" s="702">
        <f t="shared" si="3"/>
        <v>1</v>
      </c>
      <c r="AB13" s="702">
        <f t="shared" si="4"/>
        <v>1</v>
      </c>
      <c r="AC13" s="702">
        <f t="shared" si="5"/>
        <v>1</v>
      </c>
    </row>
    <row r="14" spans="1:29" ht="85.5">
      <c r="A14" s="390" t="s">
        <v>1688</v>
      </c>
      <c r="B14" s="61" t="s">
        <v>1831</v>
      </c>
      <c r="C14" s="1966"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7"/>
      <c r="M14" s="2711"/>
      <c r="N14" s="2711"/>
      <c r="O14" s="2769"/>
      <c r="P14" s="3707" t="s">
        <v>1689</v>
      </c>
      <c r="Q14" s="1347" t="str">
        <f t="shared" si="6"/>
        <v>交通便捷度</v>
      </c>
      <c r="R14" s="703" t="s">
        <v>14</v>
      </c>
      <c r="S14" s="704">
        <f t="shared" si="0"/>
        <v>100</v>
      </c>
      <c r="T14" s="703" t="s">
        <v>14</v>
      </c>
      <c r="U14" s="704">
        <f t="shared" si="1"/>
        <v>100</v>
      </c>
      <c r="V14" s="703" t="s">
        <v>14</v>
      </c>
      <c r="W14" s="704">
        <f t="shared" si="2"/>
        <v>100</v>
      </c>
      <c r="X14" s="1350"/>
      <c r="Y14" s="3707" t="s">
        <v>1689</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17"/>
      <c r="M15" s="2711"/>
      <c r="N15" s="2711"/>
      <c r="O15" s="2769"/>
      <c r="P15" s="3708"/>
      <c r="Q15" s="1347"/>
      <c r="R15" s="703"/>
      <c r="S15" s="704"/>
      <c r="T15" s="703"/>
      <c r="U15" s="704"/>
      <c r="V15" s="703"/>
      <c r="W15" s="704"/>
      <c r="X15" s="1350"/>
      <c r="Y15" s="3708"/>
      <c r="Z15" s="1351"/>
      <c r="AA15" s="1348">
        <v>1</v>
      </c>
      <c r="AB15" s="1348">
        <v>1</v>
      </c>
      <c r="AC15" s="1348">
        <v>1</v>
      </c>
    </row>
    <row r="16" spans="1:29" ht="42.75">
      <c r="A16" s="378"/>
      <c r="B16" s="401" t="s">
        <v>1810</v>
      </c>
      <c r="C16" s="1895"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7"/>
      <c r="M16" s="2711"/>
      <c r="N16" s="2711"/>
      <c r="O16" s="2769"/>
      <c r="P16" s="3708"/>
      <c r="Q16" s="1347" t="str">
        <f>B16</f>
        <v>公共配套设施</v>
      </c>
      <c r="R16" s="703" t="s">
        <v>14</v>
      </c>
      <c r="S16" s="704">
        <f>F16</f>
        <v>100</v>
      </c>
      <c r="T16" s="703" t="s">
        <v>14</v>
      </c>
      <c r="U16" s="704">
        <f>H16</f>
        <v>100</v>
      </c>
      <c r="V16" s="703" t="s">
        <v>14</v>
      </c>
      <c r="W16" s="704">
        <f>J16</f>
        <v>100</v>
      </c>
      <c r="X16" s="1350"/>
      <c r="Y16" s="3708"/>
      <c r="Z16" s="1351" t="str">
        <f>Q16</f>
        <v>公共配套设施</v>
      </c>
      <c r="AA16" s="1348">
        <f t="shared" si="3"/>
        <v>1</v>
      </c>
      <c r="AB16" s="1348">
        <f t="shared" si="4"/>
        <v>1</v>
      </c>
      <c r="AC16" s="1348">
        <f t="shared" si="5"/>
        <v>1</v>
      </c>
    </row>
    <row r="17" spans="1:29" ht="15">
      <c r="A17" s="378"/>
      <c r="B17" s="406"/>
      <c r="C17" s="1896"/>
      <c r="D17" s="398"/>
      <c r="E17" s="397"/>
      <c r="F17" s="399"/>
      <c r="G17" s="397"/>
      <c r="H17" s="398"/>
      <c r="I17" s="397"/>
      <c r="J17" s="398"/>
      <c r="K17" s="563"/>
      <c r="L17" s="2717"/>
      <c r="M17" s="2711"/>
      <c r="N17" s="2711"/>
      <c r="O17" s="2769"/>
      <c r="P17" s="3708"/>
      <c r="Q17" s="1347"/>
      <c r="R17" s="703"/>
      <c r="S17" s="704"/>
      <c r="T17" s="703"/>
      <c r="U17" s="704"/>
      <c r="V17" s="703"/>
      <c r="W17" s="704"/>
      <c r="X17" s="1350"/>
      <c r="Y17" s="3708"/>
      <c r="Z17" s="1351"/>
      <c r="AA17" s="1348">
        <v>1</v>
      </c>
      <c r="AB17" s="1348">
        <v>1</v>
      </c>
      <c r="AC17" s="1348">
        <v>1</v>
      </c>
    </row>
    <row r="18" spans="1:29" ht="28.5">
      <c r="A18" s="378"/>
      <c r="B18" s="1127" t="s">
        <v>1811</v>
      </c>
      <c r="C18" s="1895"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7"/>
      <c r="M18" s="2711"/>
      <c r="N18" s="2711"/>
      <c r="O18" s="2769"/>
      <c r="P18" s="3708"/>
      <c r="Q18" s="1347" t="str">
        <f>B18</f>
        <v>基础设施水平</v>
      </c>
      <c r="R18" s="703" t="s">
        <v>14</v>
      </c>
      <c r="S18" s="704">
        <f>F18</f>
        <v>100</v>
      </c>
      <c r="T18" s="703" t="s">
        <v>14</v>
      </c>
      <c r="U18" s="704">
        <f>H18</f>
        <v>100</v>
      </c>
      <c r="V18" s="703" t="s">
        <v>14</v>
      </c>
      <c r="W18" s="704">
        <f>J18</f>
        <v>100</v>
      </c>
      <c r="X18" s="1350"/>
      <c r="Y18" s="3708"/>
      <c r="Z18" s="1351" t="str">
        <f>Q18</f>
        <v>基础设施水平</v>
      </c>
      <c r="AA18" s="1348">
        <f t="shared" ref="AA18" si="8">D18/F18</f>
        <v>1</v>
      </c>
      <c r="AB18" s="1348">
        <f t="shared" ref="AB18" si="9">D18/H18</f>
        <v>1</v>
      </c>
      <c r="AC18" s="1348">
        <f t="shared" ref="AC18" si="10">D18/J18</f>
        <v>1</v>
      </c>
    </row>
    <row r="19" spans="1:29" ht="15">
      <c r="A19" s="378"/>
      <c r="B19" s="1127"/>
      <c r="C19" s="1896"/>
      <c r="D19" s="400"/>
      <c r="E19" s="1896"/>
      <c r="F19" s="403"/>
      <c r="G19" s="1896"/>
      <c r="H19" s="398"/>
      <c r="I19" s="397"/>
      <c r="J19" s="398"/>
      <c r="K19" s="1126"/>
      <c r="L19" s="2717"/>
      <c r="M19" s="2711"/>
      <c r="N19" s="2711"/>
      <c r="O19" s="2769"/>
      <c r="P19" s="3708"/>
      <c r="Q19" s="1347"/>
      <c r="R19" s="703"/>
      <c r="S19" s="704"/>
      <c r="T19" s="703"/>
      <c r="U19" s="704"/>
      <c r="V19" s="703"/>
      <c r="W19" s="704"/>
      <c r="X19" s="1350"/>
      <c r="Y19" s="3708"/>
      <c r="Z19" s="1351"/>
      <c r="AA19" s="1348">
        <v>1</v>
      </c>
      <c r="AB19" s="1348">
        <v>1</v>
      </c>
      <c r="AC19" s="1348">
        <v>1</v>
      </c>
    </row>
    <row r="20" spans="1:29" ht="57">
      <c r="A20" s="378"/>
      <c r="B20" s="401" t="s">
        <v>1832</v>
      </c>
      <c r="C20" s="1895"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7"/>
      <c r="M20" s="2711"/>
      <c r="N20" s="2711"/>
      <c r="O20" s="2769"/>
      <c r="P20" s="3708"/>
      <c r="Q20" s="1347" t="str">
        <f>B20</f>
        <v>自然及人文环境</v>
      </c>
      <c r="R20" s="703" t="s">
        <v>14</v>
      </c>
      <c r="S20" s="704">
        <f>F20</f>
        <v>100</v>
      </c>
      <c r="T20" s="703" t="s">
        <v>14</v>
      </c>
      <c r="U20" s="704">
        <f>H20</f>
        <v>100</v>
      </c>
      <c r="V20" s="703" t="s">
        <v>14</v>
      </c>
      <c r="W20" s="704">
        <f>J20</f>
        <v>100</v>
      </c>
      <c r="X20" s="1350"/>
      <c r="Y20" s="3708"/>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17"/>
      <c r="M21" s="2711"/>
      <c r="N21" s="2711"/>
      <c r="O21" s="2769"/>
      <c r="P21" s="3708"/>
      <c r="Q21" s="1347"/>
      <c r="R21" s="703"/>
      <c r="S21" s="704"/>
      <c r="T21" s="703"/>
      <c r="U21" s="704"/>
      <c r="V21" s="703"/>
      <c r="W21" s="704"/>
      <c r="X21" s="1350"/>
      <c r="Y21" s="3708"/>
      <c r="Z21" s="1351"/>
      <c r="AA21" s="1348">
        <v>1</v>
      </c>
      <c r="AB21" s="1348">
        <v>1</v>
      </c>
      <c r="AC21" s="1348">
        <v>1</v>
      </c>
    </row>
    <row r="22" spans="1:29" ht="15">
      <c r="A22" s="378"/>
      <c r="B22" s="401" t="s">
        <v>1833</v>
      </c>
      <c r="C22" s="564"/>
      <c r="D22" s="400">
        <v>100</v>
      </c>
      <c r="E22" s="564"/>
      <c r="F22" s="411">
        <f>SUMIF(69:69,E22,70:70)-SUMIF(69:69,C22,70:70)+100</f>
        <v>100</v>
      </c>
      <c r="G22" s="564"/>
      <c r="H22" s="385">
        <f>SUMIF(69:69,G22,70:70)-SUMIF(69:69,C22,70:70)+100</f>
        <v>100</v>
      </c>
      <c r="I22" s="564"/>
      <c r="J22" s="385">
        <f>SUMIF(69:69,I22,70:70)-SUMIF(69:69,C22,70:70)+100</f>
        <v>100</v>
      </c>
      <c r="K22" s="560"/>
      <c r="L22" s="2717"/>
      <c r="M22" s="2711"/>
      <c r="N22" s="2711"/>
      <c r="O22" s="2769"/>
      <c r="P22" s="3708"/>
      <c r="Q22" s="1347" t="str">
        <f>B22</f>
        <v>楼层</v>
      </c>
      <c r="R22" s="703" t="s">
        <v>14</v>
      </c>
      <c r="S22" s="704">
        <f>F22</f>
        <v>100</v>
      </c>
      <c r="T22" s="703" t="s">
        <v>14</v>
      </c>
      <c r="U22" s="704">
        <f>H22</f>
        <v>100</v>
      </c>
      <c r="V22" s="703" t="s">
        <v>14</v>
      </c>
      <c r="W22" s="704">
        <f>J22</f>
        <v>100</v>
      </c>
      <c r="X22" s="1350"/>
      <c r="Y22" s="3708"/>
      <c r="Z22" s="1351" t="str">
        <f>Q22</f>
        <v>楼层</v>
      </c>
      <c r="AA22" s="1348">
        <f t="shared" si="3"/>
        <v>1</v>
      </c>
      <c r="AB22" s="1348">
        <f t="shared" si="4"/>
        <v>1</v>
      </c>
      <c r="AC22" s="1348">
        <f t="shared" si="5"/>
        <v>1</v>
      </c>
    </row>
    <row r="23" spans="1:29" ht="15">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61"/>
      <c r="L23" s="2717"/>
      <c r="M23" s="2711"/>
      <c r="N23" s="2711"/>
      <c r="O23" s="2769"/>
      <c r="P23" s="3708"/>
      <c r="Q23" s="1347">
        <f>B23</f>
        <v>111</v>
      </c>
      <c r="R23" s="703" t="s">
        <v>14</v>
      </c>
      <c r="S23" s="704">
        <f>F23</f>
        <v>100</v>
      </c>
      <c r="T23" s="703" t="s">
        <v>14</v>
      </c>
      <c r="U23" s="704">
        <f>H23</f>
        <v>100</v>
      </c>
      <c r="V23" s="703" t="s">
        <v>14</v>
      </c>
      <c r="W23" s="704">
        <f>J23</f>
        <v>100</v>
      </c>
      <c r="X23" s="1350"/>
      <c r="Y23" s="3708"/>
      <c r="Z23" s="1351">
        <f>Q23</f>
        <v>111</v>
      </c>
      <c r="AA23" s="1348">
        <f t="shared" si="3"/>
        <v>1</v>
      </c>
      <c r="AB23" s="1348">
        <f t="shared" si="4"/>
        <v>1</v>
      </c>
      <c r="AC23" s="1348">
        <f t="shared" si="5"/>
        <v>1</v>
      </c>
    </row>
    <row r="24" spans="1:29" ht="15">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61"/>
      <c r="L24" s="2717"/>
      <c r="M24" s="2711"/>
      <c r="N24" s="2711"/>
      <c r="O24" s="2769"/>
      <c r="P24" s="3708"/>
      <c r="Q24" s="1347">
        <f t="shared" ref="Q24:Q34" si="11">B24</f>
        <v>111</v>
      </c>
      <c r="R24" s="703" t="s">
        <v>14</v>
      </c>
      <c r="S24" s="704">
        <f>F24</f>
        <v>100</v>
      </c>
      <c r="T24" s="703" t="s">
        <v>14</v>
      </c>
      <c r="U24" s="704">
        <f>H24</f>
        <v>100</v>
      </c>
      <c r="V24" s="703" t="s">
        <v>14</v>
      </c>
      <c r="W24" s="704">
        <f>J24</f>
        <v>100</v>
      </c>
      <c r="X24" s="1350"/>
      <c r="Y24" s="3708"/>
      <c r="Z24" s="1351">
        <f>Q24</f>
        <v>111</v>
      </c>
      <c r="AA24" s="1348">
        <f t="shared" si="3"/>
        <v>1</v>
      </c>
      <c r="AB24" s="1348">
        <f t="shared" si="4"/>
        <v>1</v>
      </c>
      <c r="AC24" s="1348">
        <f t="shared" si="5"/>
        <v>1</v>
      </c>
    </row>
    <row r="25" spans="1:29" s="108" customFormat="1" ht="15.75" thickBot="1">
      <c r="A25" s="381"/>
      <c r="B25" s="1888">
        <v>111</v>
      </c>
      <c r="C25" s="1971"/>
      <c r="D25" s="612">
        <v>100</v>
      </c>
      <c r="E25" s="1971"/>
      <c r="F25" s="613">
        <f>SUMIF(75:75,E25,76:76)-SUMIF(75:75,C25,76:76)+100</f>
        <v>100</v>
      </c>
      <c r="G25" s="1971"/>
      <c r="H25" s="612">
        <f>SUMIF(75:75,G25,76:76)-SUMIF(75:75,C25,76:76)+100</f>
        <v>100</v>
      </c>
      <c r="I25" s="1971"/>
      <c r="J25" s="612">
        <f>SUMIF(75:75,I25,76:76)-SUMIF(75:75,C25,76:76)+100</f>
        <v>100</v>
      </c>
      <c r="K25" s="561"/>
      <c r="L25" s="2712"/>
      <c r="M25" s="2713"/>
      <c r="N25" s="2713"/>
      <c r="O25" s="2767"/>
      <c r="P25" s="3708"/>
      <c r="Q25" s="1338">
        <f t="shared" si="11"/>
        <v>111</v>
      </c>
      <c r="R25" s="699" t="s">
        <v>14</v>
      </c>
      <c r="S25" s="700">
        <f>F25</f>
        <v>100</v>
      </c>
      <c r="T25" s="699" t="s">
        <v>14</v>
      </c>
      <c r="U25" s="700">
        <f>H25</f>
        <v>100</v>
      </c>
      <c r="V25" s="699" t="s">
        <v>14</v>
      </c>
      <c r="W25" s="700">
        <f>J25</f>
        <v>100</v>
      </c>
      <c r="X25" s="701"/>
      <c r="Y25" s="3708"/>
      <c r="Z25" s="52">
        <f>Q25</f>
        <v>111</v>
      </c>
      <c r="AA25" s="1348">
        <f>D25/F25</f>
        <v>1</v>
      </c>
      <c r="AB25" s="1348">
        <f>D25/H25</f>
        <v>1</v>
      </c>
      <c r="AC25" s="1348">
        <f>D25/J25</f>
        <v>1</v>
      </c>
    </row>
    <row r="26" spans="1:29" ht="28.5">
      <c r="A26" s="416" t="s">
        <v>1692</v>
      </c>
      <c r="B26" s="63" t="s">
        <v>1836</v>
      </c>
      <c r="C26" s="1962"/>
      <c r="D26" s="417">
        <v>100</v>
      </c>
      <c r="E26" s="1962"/>
      <c r="F26" s="614">
        <f>SUMIF(77:77,E26,78:78)-SUMIF(77:77,C26,78:78)+100</f>
        <v>100</v>
      </c>
      <c r="G26" s="1962"/>
      <c r="H26" s="417">
        <f>SUMIF(77:77,G26,78:78)-SUMIF(77:77,C26,78:78)+100</f>
        <v>100</v>
      </c>
      <c r="I26" s="1962"/>
      <c r="J26" s="417">
        <f>SUMIF(77:77,I26,78:78)-SUMIF(77:77,C26,78:78)+100</f>
        <v>100</v>
      </c>
      <c r="K26" s="560"/>
      <c r="L26" s="2717"/>
      <c r="M26" s="2711"/>
      <c r="N26" s="2711"/>
      <c r="O26" s="2769"/>
      <c r="P26" s="3763" t="s">
        <v>1694</v>
      </c>
      <c r="Q26" s="1347" t="str">
        <f t="shared" si="11"/>
        <v>公共部分装修</v>
      </c>
      <c r="R26" s="703" t="s">
        <v>14</v>
      </c>
      <c r="S26" s="704">
        <f t="shared" ref="S26:S34" si="12">F26</f>
        <v>100</v>
      </c>
      <c r="T26" s="703" t="s">
        <v>14</v>
      </c>
      <c r="U26" s="704">
        <f t="shared" ref="U26:U34" si="13">H26</f>
        <v>100</v>
      </c>
      <c r="V26" s="703" t="s">
        <v>14</v>
      </c>
      <c r="W26" s="704">
        <f t="shared" ref="W26:W34" si="14">J26</f>
        <v>100</v>
      </c>
      <c r="X26" s="1350"/>
      <c r="Y26" s="3712" t="s">
        <v>1694</v>
      </c>
      <c r="Z26" s="1351" t="str">
        <f t="shared" ref="Z26:Z34" si="15">Q26</f>
        <v>公共部分装修</v>
      </c>
      <c r="AA26" s="1348">
        <f t="shared" si="3"/>
        <v>1</v>
      </c>
      <c r="AB26" s="1348">
        <f t="shared" si="4"/>
        <v>1</v>
      </c>
      <c r="AC26" s="1348">
        <f t="shared" si="5"/>
        <v>1</v>
      </c>
    </row>
    <row r="27" spans="1:29" s="421" customFormat="1" ht="15">
      <c r="A27" s="418"/>
      <c r="B27" s="374" t="s">
        <v>1837</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6"/>
      <c r="M27" s="2718"/>
      <c r="N27" s="2718"/>
      <c r="O27" s="2770"/>
      <c r="P27" s="3712"/>
      <c r="Q27" s="705" t="str">
        <f t="shared" si="11"/>
        <v>成新率</v>
      </c>
      <c r="R27" s="706" t="s">
        <v>14</v>
      </c>
      <c r="S27" s="707" t="e">
        <f t="shared" si="12"/>
        <v>#N/A</v>
      </c>
      <c r="T27" s="706" t="s">
        <v>14</v>
      </c>
      <c r="U27" s="707" t="e">
        <f t="shared" si="13"/>
        <v>#N/A</v>
      </c>
      <c r="V27" s="706" t="s">
        <v>14</v>
      </c>
      <c r="W27" s="707" t="e">
        <f t="shared" si="14"/>
        <v>#N/A</v>
      </c>
      <c r="X27" s="708"/>
      <c r="Y27" s="3712"/>
      <c r="Z27" s="709" t="str">
        <f t="shared" si="15"/>
        <v>成新率</v>
      </c>
      <c r="AA27" s="1348" t="e">
        <f t="shared" si="3"/>
        <v>#N/A</v>
      </c>
      <c r="AB27" s="1348" t="e">
        <f t="shared" si="4"/>
        <v>#N/A</v>
      </c>
      <c r="AC27" s="1348" t="e">
        <f t="shared" si="5"/>
        <v>#N/A</v>
      </c>
    </row>
    <row r="28" spans="1:29" ht="15">
      <c r="A28" s="422"/>
      <c r="B28" s="374" t="s">
        <v>1838</v>
      </c>
      <c r="C28" s="410"/>
      <c r="D28" s="385">
        <v>100</v>
      </c>
      <c r="E28" s="410"/>
      <c r="F28" s="411">
        <f>SUMIF(82:82,E28,83:83)-SUMIF(82:82,C28,83:83)+100</f>
        <v>100</v>
      </c>
      <c r="G28" s="410"/>
      <c r="H28" s="385">
        <f>SUMIF(82:82,G28,83:83)-SUMIF(82:82,C28,83:83)+100</f>
        <v>100</v>
      </c>
      <c r="I28" s="410"/>
      <c r="J28" s="385">
        <f>SUMIF(82:82,I28,83:83)-SUMIF(82:82,C28,83:83)+100</f>
        <v>100</v>
      </c>
      <c r="K28" s="560"/>
      <c r="L28" s="2717"/>
      <c r="M28" s="2711"/>
      <c r="N28" s="2711"/>
      <c r="O28" s="2769"/>
      <c r="P28" s="3712"/>
      <c r="Q28" s="1347" t="str">
        <f t="shared" si="11"/>
        <v>物业等级</v>
      </c>
      <c r="R28" s="703" t="s">
        <v>14</v>
      </c>
      <c r="S28" s="704">
        <f t="shared" si="12"/>
        <v>100</v>
      </c>
      <c r="T28" s="703" t="s">
        <v>14</v>
      </c>
      <c r="U28" s="704">
        <f t="shared" si="13"/>
        <v>100</v>
      </c>
      <c r="V28" s="703" t="s">
        <v>14</v>
      </c>
      <c r="W28" s="704">
        <f t="shared" si="14"/>
        <v>100</v>
      </c>
      <c r="X28" s="1350"/>
      <c r="Y28" s="3712"/>
      <c r="Z28" s="1351" t="str">
        <f t="shared" si="15"/>
        <v>物业等级</v>
      </c>
      <c r="AA28" s="1348">
        <f t="shared" si="3"/>
        <v>1</v>
      </c>
      <c r="AB28" s="1348">
        <f t="shared" si="4"/>
        <v>1</v>
      </c>
      <c r="AC28" s="1348">
        <f t="shared" si="5"/>
        <v>1</v>
      </c>
    </row>
    <row r="29" spans="1:29" ht="15">
      <c r="A29" s="422"/>
      <c r="B29" s="374" t="s">
        <v>1858</v>
      </c>
      <c r="C29" s="604"/>
      <c r="D29" s="385">
        <v>100</v>
      </c>
      <c r="E29" s="604"/>
      <c r="F29" s="411">
        <f>SUMIF(84:84,E29,85:85)-SUMIF(84:84,C29,85:85)+100</f>
        <v>100</v>
      </c>
      <c r="G29" s="604"/>
      <c r="H29" s="385">
        <f>SUMIF(84:84,G29,85:85)-SUMIF(84:84,C29,85:85)+100</f>
        <v>100</v>
      </c>
      <c r="I29" s="604"/>
      <c r="J29" s="385">
        <f>SUMIF(84:84,I29,85:85)-SUMIF(84:84,C29,85:85)+100</f>
        <v>100</v>
      </c>
      <c r="K29" s="560"/>
      <c r="L29" s="2717"/>
      <c r="M29" s="2711"/>
      <c r="N29" s="2711"/>
      <c r="O29" s="2769"/>
      <c r="P29" s="3712"/>
      <c r="Q29" s="1347" t="str">
        <f t="shared" si="11"/>
        <v>有无电梯</v>
      </c>
      <c r="R29" s="703" t="s">
        <v>14</v>
      </c>
      <c r="S29" s="704">
        <f t="shared" si="12"/>
        <v>100</v>
      </c>
      <c r="T29" s="703" t="s">
        <v>14</v>
      </c>
      <c r="U29" s="704">
        <f t="shared" si="13"/>
        <v>100</v>
      </c>
      <c r="V29" s="703" t="s">
        <v>14</v>
      </c>
      <c r="W29" s="704">
        <f t="shared" si="14"/>
        <v>100</v>
      </c>
      <c r="X29" s="1350"/>
      <c r="Y29" s="3712"/>
      <c r="Z29" s="1351" t="str">
        <f t="shared" si="15"/>
        <v>有无电梯</v>
      </c>
      <c r="AA29" s="1348">
        <f t="shared" si="3"/>
        <v>1</v>
      </c>
      <c r="AB29" s="1348">
        <f t="shared" si="4"/>
        <v>1</v>
      </c>
      <c r="AC29" s="1348">
        <f t="shared" si="5"/>
        <v>1</v>
      </c>
    </row>
    <row r="30" spans="1:29" ht="15">
      <c r="A30" s="422"/>
      <c r="B30" s="374" t="s">
        <v>1859</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7"/>
      <c r="M30" s="2711"/>
      <c r="N30" s="2711"/>
      <c r="O30" s="2769"/>
      <c r="P30" s="3712"/>
      <c r="Q30" s="1347" t="str">
        <f t="shared" si="11"/>
        <v>建筑面积</v>
      </c>
      <c r="R30" s="703" t="s">
        <v>14</v>
      </c>
      <c r="S30" s="704" t="e">
        <f t="shared" si="12"/>
        <v>#N/A</v>
      </c>
      <c r="T30" s="703" t="s">
        <v>14</v>
      </c>
      <c r="U30" s="704" t="e">
        <f t="shared" si="13"/>
        <v>#N/A</v>
      </c>
      <c r="V30" s="703" t="s">
        <v>14</v>
      </c>
      <c r="W30" s="704" t="e">
        <f t="shared" si="14"/>
        <v>#N/A</v>
      </c>
      <c r="X30" s="1350"/>
      <c r="Y30" s="3712"/>
      <c r="Z30" s="1351" t="str">
        <f t="shared" si="15"/>
        <v>建筑面积</v>
      </c>
      <c r="AA30" s="1348" t="e">
        <f t="shared" si="3"/>
        <v>#N/A</v>
      </c>
      <c r="AB30" s="1348" t="e">
        <f t="shared" si="4"/>
        <v>#N/A</v>
      </c>
      <c r="AC30" s="1348" t="e">
        <f t="shared" si="5"/>
        <v>#N/A</v>
      </c>
    </row>
    <row r="31" spans="1:29" s="108" customFormat="1" ht="15">
      <c r="A31" s="423"/>
      <c r="B31" s="374" t="s">
        <v>1860</v>
      </c>
      <c r="C31" s="604"/>
      <c r="D31" s="126">
        <v>100</v>
      </c>
      <c r="E31" s="604"/>
      <c r="F31" s="411">
        <f>SUMIF(89:89,E31,90:90)-SUMIF(89:89,C31,90:90)+100</f>
        <v>100</v>
      </c>
      <c r="G31" s="604"/>
      <c r="H31" s="385">
        <f>SUMIF(89:89,G31,90:90)-SUMIF(89:89,C31,90:90)+100</f>
        <v>100</v>
      </c>
      <c r="I31" s="604"/>
      <c r="J31" s="385">
        <f>SUMIF(89:89,I31,90:90)-SUMIF(89:89,C31,90:90)+100</f>
        <v>100</v>
      </c>
      <c r="K31" s="560"/>
      <c r="L31" s="2712"/>
      <c r="M31" s="2713"/>
      <c r="N31" s="2713"/>
      <c r="O31" s="2767"/>
      <c r="P31" s="3712"/>
      <c r="Q31" s="1338" t="str">
        <f t="shared" si="11"/>
        <v>是否封闭</v>
      </c>
      <c r="R31" s="699" t="s">
        <v>14</v>
      </c>
      <c r="S31" s="700">
        <f t="shared" si="12"/>
        <v>100</v>
      </c>
      <c r="T31" s="699" t="s">
        <v>14</v>
      </c>
      <c r="U31" s="700">
        <f t="shared" si="13"/>
        <v>100</v>
      </c>
      <c r="V31" s="699" t="s">
        <v>14</v>
      </c>
      <c r="W31" s="700">
        <f t="shared" si="14"/>
        <v>100</v>
      </c>
      <c r="X31" s="701"/>
      <c r="Y31" s="3712"/>
      <c r="Z31" s="52" t="str">
        <f t="shared" si="15"/>
        <v>是否封闭</v>
      </c>
      <c r="AA31" s="702">
        <f t="shared" si="3"/>
        <v>1</v>
      </c>
      <c r="AB31" s="702">
        <f t="shared" si="4"/>
        <v>1</v>
      </c>
      <c r="AC31" s="702">
        <f t="shared" si="5"/>
        <v>1</v>
      </c>
    </row>
    <row r="32" spans="1:29" ht="15">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61"/>
      <c r="L32" s="2717"/>
      <c r="M32" s="2711"/>
      <c r="N32" s="2711"/>
      <c r="O32" s="2769"/>
      <c r="P32" s="3712" t="s">
        <v>1694</v>
      </c>
      <c r="Q32" s="1347">
        <f t="shared" si="11"/>
        <v>111</v>
      </c>
      <c r="R32" s="703" t="s">
        <v>14</v>
      </c>
      <c r="S32" s="704">
        <f t="shared" si="12"/>
        <v>100</v>
      </c>
      <c r="T32" s="703" t="s">
        <v>14</v>
      </c>
      <c r="U32" s="704">
        <f t="shared" si="13"/>
        <v>100</v>
      </c>
      <c r="V32" s="703" t="s">
        <v>14</v>
      </c>
      <c r="W32" s="704">
        <f t="shared" si="14"/>
        <v>100</v>
      </c>
      <c r="X32" s="1350"/>
      <c r="Y32" s="3712" t="s">
        <v>1694</v>
      </c>
      <c r="Z32" s="1351">
        <f t="shared" si="15"/>
        <v>111</v>
      </c>
      <c r="AA32" s="1348">
        <f t="shared" si="3"/>
        <v>1</v>
      </c>
      <c r="AB32" s="1348">
        <f t="shared" si="4"/>
        <v>1</v>
      </c>
      <c r="AC32" s="1348">
        <f t="shared" si="5"/>
        <v>1</v>
      </c>
    </row>
    <row r="33" spans="1:30" ht="15">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61"/>
      <c r="L33" s="2717"/>
      <c r="M33" s="2711"/>
      <c r="N33" s="2711"/>
      <c r="O33" s="2769"/>
      <c r="P33" s="3712"/>
      <c r="Q33" s="1347">
        <f t="shared" si="11"/>
        <v>111</v>
      </c>
      <c r="R33" s="703" t="s">
        <v>14</v>
      </c>
      <c r="S33" s="704">
        <f t="shared" si="12"/>
        <v>100</v>
      </c>
      <c r="T33" s="703" t="s">
        <v>14</v>
      </c>
      <c r="U33" s="704">
        <f t="shared" si="13"/>
        <v>100</v>
      </c>
      <c r="V33" s="703" t="s">
        <v>14</v>
      </c>
      <c r="W33" s="704">
        <f t="shared" si="14"/>
        <v>100</v>
      </c>
      <c r="X33" s="1350"/>
      <c r="Y33" s="3712"/>
      <c r="Z33" s="1351">
        <f t="shared" si="15"/>
        <v>111</v>
      </c>
      <c r="AA33" s="1348">
        <f t="shared" si="3"/>
        <v>1</v>
      </c>
      <c r="AB33" s="1348">
        <f t="shared" si="4"/>
        <v>1</v>
      </c>
      <c r="AC33" s="1348">
        <f t="shared" si="5"/>
        <v>1</v>
      </c>
    </row>
    <row r="34" spans="1:30" ht="15.75" thickBot="1">
      <c r="A34" s="428"/>
      <c r="B34" s="1890">
        <v>111</v>
      </c>
      <c r="C34" s="387"/>
      <c r="D34" s="388">
        <v>100</v>
      </c>
      <c r="E34" s="1970"/>
      <c r="F34" s="389">
        <f>SUMIF(95:95,E34,96:96)-SUMIF(95:95,C34,96:96)+100</f>
        <v>100</v>
      </c>
      <c r="G34" s="1970"/>
      <c r="H34" s="388">
        <f>SUMIF(95:95,G34,96:96)-SUMIF(95:95,C34,96:96)+100</f>
        <v>100</v>
      </c>
      <c r="I34" s="1970"/>
      <c r="J34" s="388">
        <f>SUMIF(95:95,I34,96:96)-SUMIF(95:95,C34,96:96)+100</f>
        <v>100</v>
      </c>
      <c r="K34" s="561"/>
      <c r="L34" s="2717"/>
      <c r="M34" s="2711"/>
      <c r="N34" s="2711"/>
      <c r="O34" s="2769"/>
      <c r="P34" s="3712"/>
      <c r="Q34" s="1347">
        <f t="shared" si="11"/>
        <v>111</v>
      </c>
      <c r="R34" s="703" t="s">
        <v>14</v>
      </c>
      <c r="S34" s="704">
        <f t="shared" si="12"/>
        <v>100</v>
      </c>
      <c r="T34" s="703" t="s">
        <v>14</v>
      </c>
      <c r="U34" s="704">
        <f t="shared" si="13"/>
        <v>100</v>
      </c>
      <c r="V34" s="703" t="s">
        <v>14</v>
      </c>
      <c r="W34" s="704">
        <f t="shared" si="14"/>
        <v>100</v>
      </c>
      <c r="X34" s="1350"/>
      <c r="Y34" s="3712"/>
      <c r="Z34" s="1351">
        <f t="shared" si="15"/>
        <v>111</v>
      </c>
      <c r="AA34" s="1348">
        <f t="shared" si="3"/>
        <v>1</v>
      </c>
      <c r="AB34" s="1348">
        <f t="shared" si="4"/>
        <v>1</v>
      </c>
      <c r="AC34" s="1348">
        <f t="shared" si="5"/>
        <v>1</v>
      </c>
    </row>
    <row r="35" spans="1:30" ht="15">
      <c r="A35" s="429" t="s">
        <v>1706</v>
      </c>
      <c r="B35" s="430"/>
      <c r="C35" s="1150" t="s">
        <v>0</v>
      </c>
      <c r="D35" s="1151"/>
      <c r="E35" s="1152"/>
      <c r="F35" s="1153"/>
      <c r="G35" s="1154"/>
      <c r="H35" s="1155"/>
      <c r="I35" s="1152"/>
      <c r="J35" s="1155"/>
      <c r="K35" s="712"/>
      <c r="L35" s="2719"/>
      <c r="M35" s="2720"/>
      <c r="N35" s="2711"/>
      <c r="O35" s="2720"/>
      <c r="P35" s="3705" t="str">
        <f>A35</f>
        <v>成交单价（元/平方米）</v>
      </c>
      <c r="Q35" s="3705"/>
      <c r="R35" s="3706">
        <f>E35</f>
        <v>0</v>
      </c>
      <c r="S35" s="3706"/>
      <c r="T35" s="3706">
        <f>G35</f>
        <v>0</v>
      </c>
      <c r="U35" s="3706"/>
      <c r="V35" s="3706">
        <f>I35</f>
        <v>0</v>
      </c>
      <c r="W35" s="3706"/>
      <c r="X35" s="688"/>
      <c r="Y35" s="710"/>
      <c r="Z35" s="688"/>
      <c r="AA35" s="688"/>
      <c r="AB35" s="688"/>
      <c r="AC35" s="688"/>
    </row>
    <row r="36" spans="1:30" ht="15.75" thickBot="1">
      <c r="A36" s="436" t="s">
        <v>1791</v>
      </c>
      <c r="B36" s="437"/>
      <c r="C36" s="1156" t="e">
        <f>R37</f>
        <v>#DIV/0!</v>
      </c>
      <c r="D36" s="2312" t="s">
        <v>2135</v>
      </c>
      <c r="E36" s="1157" t="e">
        <f>R36</f>
        <v>#DIV/0!</v>
      </c>
      <c r="F36" s="2313"/>
      <c r="G36" s="1156" t="e">
        <f>T36</f>
        <v>#DIV/0!</v>
      </c>
      <c r="H36" s="2313"/>
      <c r="I36" s="1157" t="e">
        <f>V36</f>
        <v>#DIV/0!</v>
      </c>
      <c r="J36" s="2313"/>
      <c r="K36" s="2315">
        <f>F36+H36+J36</f>
        <v>0</v>
      </c>
      <c r="L36" s="2719"/>
      <c r="M36" s="2720"/>
      <c r="N36" s="2711"/>
      <c r="O36" s="2720"/>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8"/>
      <c r="Y36" s="688"/>
      <c r="Z36" s="688"/>
      <c r="AA36" s="688"/>
      <c r="AB36" s="688"/>
      <c r="AC36" s="688"/>
    </row>
    <row r="37" spans="1:30" ht="15.75" thickBot="1">
      <c r="A37" s="440" t="s">
        <v>1792</v>
      </c>
      <c r="B37" s="441"/>
      <c r="C37" s="1159" t="e">
        <f>R37</f>
        <v>#DIV/0!</v>
      </c>
      <c r="D37" s="1159"/>
      <c r="E37" s="1159"/>
      <c r="F37" s="1159"/>
      <c r="G37" s="1159"/>
      <c r="H37" s="1159"/>
      <c r="I37" s="1159"/>
      <c r="J37" s="1159"/>
      <c r="K37" s="713"/>
      <c r="L37" s="2719"/>
      <c r="M37" s="2720"/>
      <c r="N37" s="2720"/>
      <c r="O37" s="2720"/>
      <c r="P37" s="3702" t="str">
        <f>A37</f>
        <v>估价对象XX用房的比较价值（楼面单价，元/平方米）</v>
      </c>
      <c r="Q37" s="3703"/>
      <c r="R37" s="3764" t="e">
        <f>IF(F1="售价",ROUND(IF(D36="简单平均",AVERAGE(R36:W36),R36*F36+T36*H36+V36*J36),0),ROUND(IF(D36="简单平均",AVERAGE(R36:V36),R36*F36+T36*H36+V36*J36),1))</f>
        <v>#DIV/0!</v>
      </c>
      <c r="S37" s="3764"/>
      <c r="T37" s="3764"/>
      <c r="U37" s="3764"/>
      <c r="V37" s="3764"/>
      <c r="W37" s="3764"/>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5" t="s">
        <v>1793</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5" t="s">
        <v>1794</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0" customFormat="1" ht="13.5" customHeight="1">
      <c r="A42" s="2723"/>
      <c r="B42" s="2723"/>
      <c r="C42" s="445" t="s">
        <v>1795</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0"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1796</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6" customFormat="1" ht="15">
      <c r="A46" s="453" t="s">
        <v>1677</v>
      </c>
      <c r="B46" s="454"/>
      <c r="C46" s="1179" t="str">
        <f>YEAR(C7)&amp;"-"&amp;MONTH(C7)</f>
        <v>2024-1</v>
      </c>
      <c r="D46" s="1180">
        <f>EDATE(C46,-1)</f>
        <v>45261</v>
      </c>
      <c r="E46" s="1180">
        <f t="shared" ref="E46:O46" si="16">EDATE(D46,-1)</f>
        <v>45231</v>
      </c>
      <c r="F46" s="1180">
        <f t="shared" si="16"/>
        <v>45200</v>
      </c>
      <c r="G46" s="1180">
        <f t="shared" si="16"/>
        <v>45170</v>
      </c>
      <c r="H46" s="1180">
        <f t="shared" si="16"/>
        <v>45139</v>
      </c>
      <c r="I46" s="1180">
        <f t="shared" si="16"/>
        <v>45108</v>
      </c>
      <c r="J46" s="1180">
        <f t="shared" si="16"/>
        <v>45078</v>
      </c>
      <c r="K46" s="1180">
        <f t="shared" si="16"/>
        <v>45047</v>
      </c>
      <c r="L46" s="1180">
        <f t="shared" si="16"/>
        <v>45017</v>
      </c>
      <c r="M46" s="1180">
        <f t="shared" si="16"/>
        <v>44986</v>
      </c>
      <c r="N46" s="1180">
        <f t="shared" si="16"/>
        <v>44958</v>
      </c>
      <c r="O46" s="1180">
        <f t="shared" si="16"/>
        <v>44927</v>
      </c>
      <c r="P46" s="2771"/>
      <c r="Q46" s="2736"/>
      <c r="R46" s="2736"/>
      <c r="S46" s="2736"/>
      <c r="T46" s="2736"/>
      <c r="U46" s="2736"/>
      <c r="V46" s="2736"/>
      <c r="W46" s="2736"/>
      <c r="X46" s="2736"/>
      <c r="Y46" s="2736"/>
      <c r="Z46" s="2736"/>
      <c r="AA46" s="2736"/>
      <c r="AB46" s="2736"/>
      <c r="AC46" s="2736"/>
      <c r="AD46" s="2736"/>
    </row>
    <row r="47" spans="1:30" s="108" customFormat="1" ht="15">
      <c r="A47" s="457"/>
      <c r="B47" s="458"/>
      <c r="C47" s="1178">
        <v>100</v>
      </c>
      <c r="D47" s="460"/>
      <c r="E47" s="460"/>
      <c r="F47" s="460"/>
      <c r="G47" s="460"/>
      <c r="H47" s="460"/>
      <c r="I47" s="460"/>
      <c r="J47" s="460"/>
      <c r="K47" s="460"/>
      <c r="L47" s="460"/>
      <c r="M47" s="461"/>
      <c r="N47" s="460"/>
      <c r="O47" s="462"/>
      <c r="P47" s="2734"/>
      <c r="Q47" s="2656"/>
      <c r="R47" s="2656"/>
      <c r="S47" s="2656"/>
      <c r="T47" s="2656"/>
      <c r="U47" s="2656"/>
      <c r="V47" s="2656"/>
      <c r="W47" s="2656"/>
      <c r="X47" s="2656"/>
      <c r="Y47" s="2656"/>
      <c r="Z47" s="2656"/>
      <c r="AA47" s="2656"/>
      <c r="AB47" s="2656"/>
      <c r="AC47" s="2656"/>
      <c r="AD47" s="2656"/>
    </row>
    <row r="48" spans="1:30" s="108" customFormat="1" ht="15.75" thickBot="1">
      <c r="A48" s="463" t="s">
        <v>1714</v>
      </c>
      <c r="B48" s="464"/>
      <c r="C48" s="465"/>
      <c r="D48" s="466"/>
      <c r="E48" s="466"/>
      <c r="F48" s="466"/>
      <c r="G48" s="466"/>
      <c r="H48" s="466"/>
      <c r="I48" s="466"/>
      <c r="J48" s="466"/>
      <c r="K48" s="466"/>
      <c r="L48" s="466"/>
      <c r="M48" s="467"/>
      <c r="N48" s="466"/>
      <c r="O48" s="468"/>
      <c r="P48" s="2734"/>
      <c r="Q48" s="2734"/>
      <c r="R48" s="2656"/>
      <c r="S48" s="2656"/>
      <c r="T48" s="2656"/>
      <c r="U48" s="2656"/>
      <c r="V48" s="2656"/>
      <c r="W48" s="2656"/>
      <c r="X48" s="2656"/>
      <c r="Y48" s="2656"/>
      <c r="Z48" s="2656"/>
      <c r="AA48" s="2656"/>
      <c r="AB48" s="2656"/>
      <c r="AC48" s="2656"/>
      <c r="AD48" s="2656"/>
    </row>
    <row r="49" spans="1:30" s="108" customFormat="1" ht="15">
      <c r="A49" s="469" t="s">
        <v>1679</v>
      </c>
      <c r="B49" s="458"/>
      <c r="C49" s="470" t="s">
        <v>1774</v>
      </c>
      <c r="D49" s="471"/>
      <c r="E49" s="471"/>
      <c r="F49" s="471"/>
      <c r="G49" s="471"/>
      <c r="H49" s="471"/>
      <c r="I49" s="471"/>
      <c r="J49" s="471"/>
      <c r="K49" s="471"/>
      <c r="L49" s="472"/>
      <c r="M49" s="473"/>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69"/>
      <c r="B50" s="458"/>
      <c r="C50" s="586">
        <v>100</v>
      </c>
      <c r="D50" s="460"/>
      <c r="E50" s="460"/>
      <c r="F50" s="460"/>
      <c r="G50" s="460"/>
      <c r="H50" s="460"/>
      <c r="I50" s="460"/>
      <c r="J50" s="460"/>
      <c r="K50" s="460"/>
      <c r="L50" s="460"/>
      <c r="M50" s="462"/>
      <c r="N50" s="2747"/>
      <c r="O50" s="2747"/>
      <c r="P50" s="2734"/>
      <c r="Q50" s="2734"/>
      <c r="R50" s="2656"/>
      <c r="S50" s="2656"/>
      <c r="T50" s="2656"/>
      <c r="U50" s="2656"/>
      <c r="V50" s="2656"/>
      <c r="W50" s="2656"/>
      <c r="X50" s="2656"/>
      <c r="Y50" s="2656"/>
      <c r="Z50" s="2656"/>
      <c r="AA50" s="2656"/>
      <c r="AB50" s="2656"/>
      <c r="AC50" s="2656"/>
      <c r="AD50" s="2656"/>
    </row>
    <row r="51" spans="1:30">
      <c r="A51" s="475" t="s">
        <v>1717</v>
      </c>
      <c r="B51" s="476" t="s">
        <v>1683</v>
      </c>
      <c r="C51" s="477">
        <f>C9</f>
        <v>0</v>
      </c>
      <c r="D51" s="478"/>
      <c r="E51" s="478"/>
      <c r="F51" s="478"/>
      <c r="G51" s="478"/>
      <c r="H51" s="478"/>
      <c r="I51" s="478"/>
      <c r="J51" s="478"/>
      <c r="K51" s="479"/>
      <c r="L51" s="480"/>
      <c r="M51" s="481"/>
      <c r="N51" s="2748"/>
      <c r="O51" s="2748"/>
      <c r="P51" s="2773"/>
      <c r="Q51" s="2734"/>
      <c r="R51" s="2720"/>
      <c r="S51" s="2720"/>
      <c r="T51" s="2720"/>
      <c r="U51" s="2720"/>
      <c r="V51" s="2720"/>
      <c r="W51" s="2720"/>
      <c r="X51" s="2720"/>
      <c r="Y51" s="2720"/>
      <c r="Z51" s="2720"/>
      <c r="AA51" s="2720"/>
      <c r="AB51" s="2720"/>
      <c r="AC51" s="2720"/>
      <c r="AD51" s="2720"/>
    </row>
    <row r="52" spans="1:30" ht="15.75" thickBot="1">
      <c r="A52" s="482"/>
      <c r="B52" s="483"/>
      <c r="C52" s="484">
        <v>100</v>
      </c>
      <c r="D52" s="484"/>
      <c r="E52" s="484"/>
      <c r="F52" s="484"/>
      <c r="G52" s="484"/>
      <c r="H52" s="484"/>
      <c r="I52" s="484"/>
      <c r="J52" s="484"/>
      <c r="K52" s="484"/>
      <c r="L52" s="484"/>
      <c r="M52" s="485"/>
      <c r="N52" s="2749"/>
      <c r="O52" s="2749"/>
      <c r="P52" s="2773"/>
      <c r="Q52" s="2734"/>
      <c r="R52" s="2720"/>
      <c r="S52" s="2720"/>
      <c r="T52" s="2720"/>
      <c r="U52" s="2720"/>
      <c r="V52" s="2720"/>
      <c r="W52" s="2720"/>
      <c r="X52" s="2720"/>
      <c r="Y52" s="2720"/>
      <c r="Z52" s="2720"/>
      <c r="AA52" s="2720"/>
      <c r="AB52" s="2720"/>
      <c r="AC52" s="2720"/>
      <c r="AD52" s="2720"/>
    </row>
    <row r="53" spans="1:30" ht="27.75" thickTop="1">
      <c r="A53" s="482"/>
      <c r="B53" s="486" t="s">
        <v>1686</v>
      </c>
      <c r="C53" s="531"/>
      <c r="D53" s="531"/>
      <c r="E53" s="531"/>
      <c r="F53" s="531"/>
      <c r="G53" s="531"/>
      <c r="H53" s="531"/>
      <c r="I53" s="531"/>
      <c r="J53" s="531"/>
      <c r="K53" s="532"/>
      <c r="L53" s="533"/>
      <c r="M53" s="534"/>
      <c r="N53" s="2748"/>
      <c r="O53" s="2748"/>
      <c r="P53" s="2773"/>
      <c r="Q53" s="2734"/>
      <c r="R53" s="2720"/>
      <c r="S53" s="2720"/>
      <c r="T53" s="2720"/>
      <c r="U53" s="2720"/>
      <c r="V53" s="2720"/>
      <c r="W53" s="2720"/>
      <c r="X53" s="2720"/>
      <c r="Y53" s="2720"/>
      <c r="Z53" s="2720"/>
      <c r="AA53" s="2720"/>
      <c r="AB53" s="2720"/>
      <c r="AC53" s="2720"/>
      <c r="AD53" s="2720"/>
    </row>
    <row r="54" spans="1:30" ht="15.75" thickBot="1">
      <c r="A54" s="482"/>
      <c r="B54" s="491"/>
      <c r="C54" s="484"/>
      <c r="D54" s="484"/>
      <c r="E54" s="484"/>
      <c r="F54" s="484"/>
      <c r="G54" s="484"/>
      <c r="H54" s="484"/>
      <c r="I54" s="484"/>
      <c r="J54" s="484"/>
      <c r="K54" s="484"/>
      <c r="L54" s="484"/>
      <c r="M54" s="485"/>
      <c r="N54" s="2749"/>
      <c r="O54" s="2749"/>
      <c r="P54" s="2773"/>
      <c r="Q54" s="2734"/>
      <c r="R54" s="2720"/>
      <c r="S54" s="2720"/>
      <c r="T54" s="2720"/>
      <c r="U54" s="2720"/>
      <c r="V54" s="2720"/>
      <c r="W54" s="2720"/>
      <c r="X54" s="2720"/>
      <c r="Y54" s="2720"/>
      <c r="Z54" s="2720"/>
      <c r="AA54" s="2720"/>
      <c r="AB54" s="2720"/>
      <c r="AC54" s="2720"/>
      <c r="AD54" s="2720"/>
    </row>
    <row r="55" spans="1:30" ht="15.75" thickTop="1">
      <c r="A55" s="482"/>
      <c r="B55" s="607">
        <f>B11</f>
        <v>111</v>
      </c>
      <c r="C55" s="497"/>
      <c r="D55" s="497"/>
      <c r="E55" s="497"/>
      <c r="F55" s="497"/>
      <c r="G55" s="497"/>
      <c r="H55" s="497"/>
      <c r="I55" s="497"/>
      <c r="J55" s="497"/>
      <c r="K55" s="498"/>
      <c r="L55" s="499"/>
      <c r="M55" s="500"/>
      <c r="N55" s="2748"/>
      <c r="O55" s="2748"/>
      <c r="P55" s="2773"/>
      <c r="Q55" s="2734"/>
      <c r="R55" s="2720"/>
      <c r="S55" s="2720"/>
      <c r="T55" s="2720"/>
      <c r="U55" s="2720"/>
      <c r="V55" s="2720"/>
      <c r="W55" s="2720"/>
      <c r="X55" s="2720"/>
      <c r="Y55" s="2720"/>
      <c r="Z55" s="2720"/>
      <c r="AA55" s="2720"/>
      <c r="AB55" s="2720"/>
      <c r="AC55" s="2720"/>
      <c r="AD55" s="2720"/>
    </row>
    <row r="56" spans="1:30" ht="15.75" thickBot="1">
      <c r="A56" s="482"/>
      <c r="B56" s="483"/>
      <c r="C56" s="508"/>
      <c r="D56" s="484"/>
      <c r="E56" s="484"/>
      <c r="F56" s="484"/>
      <c r="G56" s="484"/>
      <c r="H56" s="484"/>
      <c r="I56" s="484"/>
      <c r="J56" s="484"/>
      <c r="K56" s="484"/>
      <c r="L56" s="484"/>
      <c r="M56" s="485"/>
      <c r="N56" s="2749"/>
      <c r="O56" s="2749"/>
      <c r="P56" s="2773"/>
      <c r="Q56" s="2734"/>
      <c r="R56" s="2720"/>
      <c r="S56" s="2720"/>
      <c r="T56" s="2720"/>
      <c r="U56" s="2720"/>
      <c r="V56" s="2720"/>
      <c r="W56" s="2720"/>
      <c r="X56" s="2720"/>
      <c r="Y56" s="2720"/>
      <c r="Z56" s="2720"/>
      <c r="AA56" s="2720"/>
      <c r="AB56" s="2720"/>
      <c r="AC56" s="2720"/>
      <c r="AD56" s="2720"/>
    </row>
    <row r="57" spans="1:30" s="421" customFormat="1" ht="15.75" thickTop="1">
      <c r="A57" s="501"/>
      <c r="B57" s="486">
        <f>B12</f>
        <v>111</v>
      </c>
      <c r="C57" s="497"/>
      <c r="D57" s="497"/>
      <c r="E57" s="497"/>
      <c r="F57" s="497"/>
      <c r="G57" s="502"/>
      <c r="H57" s="503"/>
      <c r="I57" s="503"/>
      <c r="J57" s="503"/>
      <c r="K57" s="503"/>
      <c r="L57" s="504"/>
      <c r="M57" s="505"/>
      <c r="N57" s="2750"/>
      <c r="O57" s="2750"/>
      <c r="P57" s="2774"/>
      <c r="Q57" s="2741"/>
      <c r="R57" s="2742"/>
      <c r="S57" s="2742"/>
      <c r="T57" s="2742"/>
      <c r="U57" s="2742"/>
      <c r="V57" s="2742"/>
      <c r="W57" s="2742"/>
      <c r="X57" s="2742"/>
      <c r="Y57" s="2742"/>
      <c r="Z57" s="2742"/>
      <c r="AA57" s="2742"/>
      <c r="AB57" s="2742"/>
      <c r="AC57" s="2742"/>
      <c r="AD57" s="2742"/>
    </row>
    <row r="58" spans="1:30" s="421" customFormat="1" ht="15.75" thickBot="1">
      <c r="A58" s="501"/>
      <c r="B58" s="491"/>
      <c r="C58" s="508"/>
      <c r="D58" s="484"/>
      <c r="E58" s="484"/>
      <c r="F58" s="484"/>
      <c r="G58" s="484"/>
      <c r="H58" s="484"/>
      <c r="I58" s="484"/>
      <c r="J58" s="484"/>
      <c r="K58" s="484"/>
      <c r="L58" s="484"/>
      <c r="M58" s="485"/>
      <c r="N58" s="2749"/>
      <c r="O58" s="2749"/>
      <c r="P58" s="2774"/>
      <c r="Q58" s="2741"/>
      <c r="R58" s="2742"/>
      <c r="S58" s="2742"/>
      <c r="T58" s="2742"/>
      <c r="U58" s="2742"/>
      <c r="V58" s="2742"/>
      <c r="W58" s="2742"/>
      <c r="X58" s="2742"/>
      <c r="Y58" s="2742"/>
      <c r="Z58" s="2742"/>
      <c r="AA58" s="2742"/>
      <c r="AB58" s="2742"/>
      <c r="AC58" s="2742"/>
      <c r="AD58" s="2742"/>
    </row>
    <row r="59" spans="1:30" s="421" customFormat="1" ht="15.75" thickTop="1">
      <c r="A59" s="501"/>
      <c r="B59" s="486">
        <f>B13</f>
        <v>111</v>
      </c>
      <c r="C59" s="497"/>
      <c r="D59" s="497"/>
      <c r="E59" s="497"/>
      <c r="F59" s="497"/>
      <c r="G59" s="502"/>
      <c r="H59" s="503"/>
      <c r="I59" s="503"/>
      <c r="J59" s="503"/>
      <c r="K59" s="503"/>
      <c r="L59" s="504"/>
      <c r="M59" s="505"/>
      <c r="N59" s="2750"/>
      <c r="O59" s="2750"/>
      <c r="P59" s="2718"/>
      <c r="Q59" s="2744"/>
      <c r="R59" s="2742"/>
      <c r="S59" s="2742"/>
      <c r="T59" s="2742"/>
      <c r="U59" s="2742"/>
      <c r="V59" s="2742"/>
      <c r="W59" s="2742"/>
      <c r="X59" s="2742"/>
      <c r="Y59" s="2742"/>
      <c r="Z59" s="2742"/>
      <c r="AA59" s="2742"/>
      <c r="AB59" s="2742"/>
      <c r="AC59" s="2742"/>
      <c r="AD59" s="2742"/>
    </row>
    <row r="60" spans="1:30" s="421" customFormat="1" ht="15.75" thickBot="1">
      <c r="A60" s="501"/>
      <c r="B60" s="491"/>
      <c r="C60" s="508"/>
      <c r="D60" s="508"/>
      <c r="E60" s="508"/>
      <c r="F60" s="508"/>
      <c r="G60" s="508"/>
      <c r="H60" s="510"/>
      <c r="I60" s="510"/>
      <c r="J60" s="510"/>
      <c r="K60" s="510"/>
      <c r="L60" s="510"/>
      <c r="M60" s="511"/>
      <c r="N60" s="2750"/>
      <c r="O60" s="2750"/>
      <c r="P60" s="2774"/>
      <c r="Q60" s="2741"/>
      <c r="R60" s="2742"/>
      <c r="S60" s="2742"/>
      <c r="T60" s="2742"/>
      <c r="U60" s="2742"/>
      <c r="V60" s="2742"/>
      <c r="W60" s="2742"/>
      <c r="X60" s="2742"/>
      <c r="Y60" s="2742"/>
      <c r="Z60" s="2742"/>
      <c r="AA60" s="2742"/>
      <c r="AB60" s="2742"/>
      <c r="AC60" s="2742"/>
      <c r="AD60" s="2742"/>
    </row>
    <row r="61" spans="1:30" ht="15" thickTop="1">
      <c r="A61" s="475" t="s">
        <v>1688</v>
      </c>
      <c r="B61" s="476" t="s">
        <v>1724</v>
      </c>
      <c r="C61" s="521" t="s">
        <v>1719</v>
      </c>
      <c r="D61" s="521" t="s">
        <v>1720</v>
      </c>
      <c r="E61" s="521" t="s">
        <v>1721</v>
      </c>
      <c r="F61" s="521" t="s">
        <v>1722</v>
      </c>
      <c r="G61" s="521" t="s">
        <v>1723</v>
      </c>
      <c r="H61" s="477"/>
      <c r="I61" s="477"/>
      <c r="J61" s="477"/>
      <c r="K61" s="522"/>
      <c r="L61" s="523"/>
      <c r="M61" s="524"/>
      <c r="N61" s="2748"/>
      <c r="O61" s="2748"/>
      <c r="P61" s="2775"/>
      <c r="Q61" s="2734"/>
      <c r="R61" s="2720"/>
      <c r="S61" s="2720"/>
      <c r="T61" s="2720"/>
      <c r="U61" s="2720"/>
      <c r="V61" s="2720"/>
      <c r="W61" s="2720"/>
      <c r="X61" s="2720"/>
      <c r="Y61" s="2720"/>
      <c r="Z61" s="2720"/>
      <c r="AA61" s="2720"/>
      <c r="AB61" s="2720"/>
      <c r="AC61" s="2720"/>
      <c r="AD61" s="2720"/>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9"/>
      <c r="O62" s="2749"/>
      <c r="P62" s="2773"/>
      <c r="Q62" s="2734"/>
      <c r="R62" s="2720"/>
      <c r="S62" s="2720"/>
      <c r="T62" s="2720"/>
      <c r="U62" s="2720"/>
      <c r="V62" s="2720"/>
      <c r="W62" s="2720"/>
      <c r="X62" s="2720"/>
      <c r="Y62" s="2720"/>
      <c r="Z62" s="2720"/>
      <c r="AA62" s="2720"/>
      <c r="AB62" s="2720"/>
      <c r="AC62" s="2720"/>
      <c r="AD62" s="2720"/>
    </row>
    <row r="63" spans="1:30" ht="27.75" thickTop="1">
      <c r="A63" s="482"/>
      <c r="B63" s="486" t="s">
        <v>1861</v>
      </c>
      <c r="C63" s="526" t="s">
        <v>1719</v>
      </c>
      <c r="D63" s="526" t="s">
        <v>1720</v>
      </c>
      <c r="E63" s="526" t="s">
        <v>1721</v>
      </c>
      <c r="F63" s="526" t="s">
        <v>1722</v>
      </c>
      <c r="G63" s="526" t="s">
        <v>1723</v>
      </c>
      <c r="H63" s="487"/>
      <c r="I63" s="487"/>
      <c r="J63" s="487"/>
      <c r="K63" s="488"/>
      <c r="L63" s="489"/>
      <c r="M63" s="490"/>
      <c r="N63" s="2748"/>
      <c r="O63" s="2748"/>
      <c r="P63" s="2773"/>
      <c r="Q63" s="2734"/>
      <c r="R63" s="2720"/>
      <c r="S63" s="2720"/>
      <c r="T63" s="2720"/>
      <c r="U63" s="2720"/>
      <c r="V63" s="2720"/>
      <c r="W63" s="2720"/>
      <c r="X63" s="2720"/>
      <c r="Y63" s="2720"/>
      <c r="Z63" s="2720"/>
      <c r="AA63" s="2720"/>
      <c r="AB63" s="2720"/>
      <c r="AC63" s="2720"/>
      <c r="AD63" s="2720"/>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9"/>
      <c r="O64" s="2749"/>
      <c r="P64" s="2773"/>
      <c r="Q64" s="2734"/>
      <c r="R64" s="2720"/>
      <c r="S64" s="2720"/>
      <c r="T64" s="2720"/>
      <c r="U64" s="2720"/>
      <c r="V64" s="2720"/>
      <c r="W64" s="2720"/>
      <c r="X64" s="2720"/>
      <c r="Y64" s="2720"/>
      <c r="Z64" s="2720"/>
      <c r="AA64" s="2720"/>
      <c r="AB64" s="2720"/>
      <c r="AC64" s="2720"/>
      <c r="AD64" s="2720"/>
    </row>
    <row r="65" spans="1:30" ht="15.75" thickTop="1">
      <c r="A65" s="482"/>
      <c r="B65" s="494" t="s">
        <v>1811</v>
      </c>
      <c r="C65" s="607" t="s">
        <v>1797</v>
      </c>
      <c r="D65" s="607" t="s">
        <v>1798</v>
      </c>
      <c r="E65" s="607" t="s">
        <v>1799</v>
      </c>
      <c r="F65" s="607" t="s">
        <v>1800</v>
      </c>
      <c r="G65" s="607" t="s">
        <v>1801</v>
      </c>
      <c r="H65" s="487"/>
      <c r="I65" s="487"/>
      <c r="J65" s="487"/>
      <c r="K65" s="487"/>
      <c r="L65" s="487"/>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9"/>
      <c r="O66" s="2749"/>
      <c r="P66" s="2773"/>
      <c r="Q66" s="2734"/>
      <c r="R66" s="2720"/>
      <c r="S66" s="2720"/>
      <c r="T66" s="2720"/>
      <c r="U66" s="2720"/>
      <c r="V66" s="2720"/>
      <c r="W66" s="2720"/>
      <c r="X66" s="2720"/>
      <c r="Y66" s="2720"/>
      <c r="Z66" s="2720"/>
      <c r="AA66" s="2720"/>
      <c r="AB66" s="2720"/>
      <c r="AC66" s="2720"/>
      <c r="AD66" s="2720"/>
    </row>
    <row r="67" spans="1:30" ht="15.75" thickTop="1">
      <c r="A67" s="482"/>
      <c r="B67" s="486" t="s">
        <v>1731</v>
      </c>
      <c r="C67" s="526" t="s">
        <v>1719</v>
      </c>
      <c r="D67" s="526" t="s">
        <v>1720</v>
      </c>
      <c r="E67" s="526" t="s">
        <v>1721</v>
      </c>
      <c r="F67" s="526" t="s">
        <v>1722</v>
      </c>
      <c r="G67" s="526" t="s">
        <v>1723</v>
      </c>
      <c r="H67" s="487"/>
      <c r="I67" s="487"/>
      <c r="J67" s="487"/>
      <c r="K67" s="488"/>
      <c r="L67" s="489"/>
      <c r="M67" s="490"/>
      <c r="N67" s="2748"/>
      <c r="O67" s="2748"/>
      <c r="P67" s="2773"/>
      <c r="Q67" s="2734"/>
      <c r="R67" s="2720"/>
      <c r="S67" s="2720"/>
      <c r="T67" s="2720"/>
      <c r="U67" s="2720"/>
      <c r="V67" s="2720"/>
      <c r="W67" s="2720"/>
      <c r="X67" s="2720"/>
      <c r="Y67" s="2720"/>
      <c r="Z67" s="2720"/>
      <c r="AA67" s="2720"/>
      <c r="AB67" s="2720"/>
      <c r="AC67" s="2720"/>
      <c r="AD67" s="2720"/>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9"/>
      <c r="O68" s="2749"/>
      <c r="P68" s="2773"/>
      <c r="Q68" s="2734"/>
      <c r="R68" s="2720"/>
      <c r="S68" s="2720"/>
      <c r="T68" s="2720"/>
      <c r="U68" s="2720"/>
      <c r="V68" s="2720"/>
      <c r="W68" s="2720"/>
      <c r="X68" s="2720"/>
      <c r="Y68" s="2720"/>
      <c r="Z68" s="2720"/>
      <c r="AA68" s="2720"/>
      <c r="AB68" s="2720"/>
      <c r="AC68" s="2720"/>
      <c r="AD68" s="2720"/>
    </row>
    <row r="69" spans="1:30" ht="15.75" thickTop="1">
      <c r="A69" s="482"/>
      <c r="B69" s="486" t="s">
        <v>1850</v>
      </c>
      <c r="C69" s="502"/>
      <c r="D69" s="502"/>
      <c r="E69" s="502"/>
      <c r="F69" s="502"/>
      <c r="G69" s="502"/>
      <c r="H69" s="531"/>
      <c r="I69" s="531"/>
      <c r="J69" s="531"/>
      <c r="K69" s="532"/>
      <c r="L69" s="533"/>
      <c r="M69" s="534"/>
      <c r="N69" s="2748"/>
      <c r="O69" s="2748"/>
      <c r="P69" s="2773"/>
      <c r="Q69" s="2734"/>
      <c r="R69" s="2720"/>
      <c r="S69" s="2720"/>
      <c r="T69" s="2720"/>
      <c r="U69" s="2720"/>
      <c r="V69" s="2720"/>
      <c r="W69" s="2720"/>
      <c r="X69" s="2720"/>
      <c r="Y69" s="2720"/>
      <c r="Z69" s="2720"/>
      <c r="AA69" s="2720"/>
      <c r="AB69" s="2720"/>
      <c r="AC69" s="2720"/>
      <c r="AD69" s="2720"/>
    </row>
    <row r="70" spans="1:30" ht="15.75" thickBot="1">
      <c r="A70" s="482"/>
      <c r="B70" s="491"/>
      <c r="C70" s="492">
        <v>100</v>
      </c>
      <c r="D70" s="492">
        <f>C70-$K22</f>
        <v>100</v>
      </c>
      <c r="E70" s="492"/>
      <c r="F70" s="492"/>
      <c r="G70" s="492"/>
      <c r="H70" s="492"/>
      <c r="I70" s="492"/>
      <c r="J70" s="492"/>
      <c r="K70" s="492"/>
      <c r="L70" s="492"/>
      <c r="M70" s="493"/>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7"/>
      <c r="B71" s="486">
        <f>B23</f>
        <v>111</v>
      </c>
      <c r="C71" s="497"/>
      <c r="D71" s="497"/>
      <c r="E71" s="497"/>
      <c r="F71" s="497"/>
      <c r="G71" s="502"/>
      <c r="H71" s="502"/>
      <c r="I71" s="502"/>
      <c r="J71" s="502"/>
      <c r="K71" s="502"/>
      <c r="L71" s="528"/>
      <c r="M71" s="529"/>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7"/>
      <c r="B72" s="491"/>
      <c r="C72" s="508"/>
      <c r="D72" s="484"/>
      <c r="E72" s="484"/>
      <c r="F72" s="484"/>
      <c r="G72" s="484"/>
      <c r="H72" s="484"/>
      <c r="I72" s="484"/>
      <c r="J72" s="484"/>
      <c r="K72" s="484"/>
      <c r="L72" s="484"/>
      <c r="M72" s="485"/>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7"/>
      <c r="B73" s="486">
        <f>B24</f>
        <v>111</v>
      </c>
      <c r="C73" s="497"/>
      <c r="D73" s="497"/>
      <c r="E73" s="497"/>
      <c r="F73" s="497"/>
      <c r="G73" s="502"/>
      <c r="H73" s="502"/>
      <c r="I73" s="502"/>
      <c r="J73" s="502"/>
      <c r="K73" s="502"/>
      <c r="L73" s="502"/>
      <c r="M73" s="529"/>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7"/>
      <c r="B74" s="491"/>
      <c r="C74" s="508"/>
      <c r="D74" s="484"/>
      <c r="E74" s="484"/>
      <c r="F74" s="484"/>
      <c r="G74" s="484"/>
      <c r="H74" s="484"/>
      <c r="I74" s="484"/>
      <c r="J74" s="484"/>
      <c r="K74" s="484"/>
      <c r="L74" s="484"/>
      <c r="M74" s="485"/>
      <c r="N74" s="2749"/>
      <c r="O74" s="2749"/>
      <c r="P74" s="2773"/>
      <c r="Q74" s="2734"/>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50"/>
      <c r="O75" s="2750"/>
      <c r="P75" s="2774"/>
      <c r="Q75" s="2741"/>
      <c r="R75" s="2742"/>
      <c r="S75" s="2742"/>
      <c r="T75" s="2742"/>
      <c r="U75" s="2742"/>
      <c r="V75" s="2742"/>
      <c r="W75" s="2742"/>
      <c r="X75" s="2742"/>
      <c r="Y75" s="2742"/>
      <c r="Z75" s="2742"/>
      <c r="AA75" s="2742"/>
      <c r="AB75" s="2742"/>
      <c r="AC75" s="2742"/>
      <c r="AD75" s="2742"/>
    </row>
    <row r="76" spans="1:30" s="421" customFormat="1" ht="15.75" thickBot="1">
      <c r="A76" s="501"/>
      <c r="B76" s="491"/>
      <c r="C76" s="508"/>
      <c r="D76" s="508"/>
      <c r="E76" s="508"/>
      <c r="F76" s="508"/>
      <c r="G76" s="484"/>
      <c r="H76" s="484"/>
      <c r="I76" s="484"/>
      <c r="J76" s="484"/>
      <c r="K76" s="484"/>
      <c r="L76" s="484"/>
      <c r="M76" s="485"/>
      <c r="N76" s="2750"/>
      <c r="O76" s="2750"/>
      <c r="P76" s="2774"/>
      <c r="Q76" s="2741"/>
      <c r="R76" s="2742"/>
      <c r="S76" s="2742"/>
      <c r="T76" s="2742"/>
      <c r="U76" s="2742"/>
      <c r="V76" s="2742"/>
      <c r="W76" s="2742"/>
      <c r="X76" s="2742"/>
      <c r="Y76" s="2742"/>
      <c r="Z76" s="2742"/>
      <c r="AA76" s="2742"/>
      <c r="AB76" s="2742"/>
      <c r="AC76" s="2742"/>
      <c r="AD76" s="2742"/>
    </row>
    <row r="77" spans="1:30" ht="15" thickTop="1">
      <c r="A77" s="475" t="s">
        <v>1692</v>
      </c>
      <c r="B77" s="476" t="s">
        <v>1738</v>
      </c>
      <c r="C77" s="502"/>
      <c r="D77" s="502"/>
      <c r="E77" s="478"/>
      <c r="F77" s="478"/>
      <c r="G77" s="478"/>
      <c r="H77" s="478"/>
      <c r="I77" s="478"/>
      <c r="J77" s="478"/>
      <c r="K77" s="479"/>
      <c r="L77" s="480"/>
      <c r="M77" s="481"/>
      <c r="N77" s="2748"/>
      <c r="O77" s="2748"/>
      <c r="P77" s="2773"/>
      <c r="Q77" s="2734"/>
      <c r="R77" s="2720"/>
      <c r="S77" s="2720"/>
      <c r="T77" s="2720"/>
      <c r="U77" s="2720"/>
      <c r="V77" s="2720"/>
      <c r="W77" s="2720"/>
      <c r="X77" s="2720"/>
      <c r="Y77" s="2720"/>
      <c r="Z77" s="2720"/>
      <c r="AA77" s="2720"/>
      <c r="AB77" s="2720"/>
      <c r="AC77" s="2720"/>
      <c r="AD77" s="2720"/>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2"/>
      <c r="B79" s="486" t="s">
        <v>1853</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7"/>
      <c r="O79" s="2747"/>
      <c r="P79" s="2773"/>
      <c r="Q79" s="2734"/>
      <c r="R79" s="2720"/>
      <c r="S79" s="2720"/>
      <c r="T79" s="2720"/>
      <c r="U79" s="2720"/>
      <c r="V79" s="2720"/>
      <c r="W79" s="2720"/>
      <c r="X79" s="2720"/>
      <c r="Y79" s="2720"/>
      <c r="Z79" s="2720"/>
      <c r="AA79" s="2720"/>
      <c r="AB79" s="2720"/>
      <c r="AC79" s="2720"/>
      <c r="AD79" s="2720"/>
    </row>
    <row r="80" spans="1:30" ht="15">
      <c r="A80" s="482"/>
      <c r="B80" s="494"/>
      <c r="C80" s="551">
        <v>0.5</v>
      </c>
      <c r="D80" s="551">
        <v>0.6</v>
      </c>
      <c r="E80" s="551">
        <v>0.7</v>
      </c>
      <c r="F80" s="551">
        <v>0.8</v>
      </c>
      <c r="G80" s="551">
        <v>0.9</v>
      </c>
      <c r="H80" s="551">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7"/>
      <c r="B82" s="494" t="s">
        <v>1854</v>
      </c>
      <c r="C82" s="502"/>
      <c r="D82" s="502"/>
      <c r="E82" s="531"/>
      <c r="F82" s="531"/>
      <c r="G82" s="531"/>
      <c r="H82" s="531"/>
      <c r="I82" s="531"/>
      <c r="J82" s="531"/>
      <c r="K82" s="532"/>
      <c r="L82" s="533"/>
      <c r="M82" s="534"/>
      <c r="N82" s="2748"/>
      <c r="O82" s="2748"/>
      <c r="P82" s="2773"/>
      <c r="Q82" s="2734"/>
      <c r="R82" s="2720"/>
      <c r="S82" s="2720"/>
      <c r="T82" s="2720"/>
      <c r="U82" s="2720"/>
      <c r="V82" s="2720"/>
      <c r="W82" s="2720"/>
      <c r="X82" s="2720"/>
      <c r="Y82" s="2720"/>
      <c r="Z82" s="2720"/>
      <c r="AA82" s="2720"/>
      <c r="AB82" s="2720"/>
      <c r="AC82" s="2720"/>
      <c r="AD82" s="2720"/>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7"/>
      <c r="B84" s="486" t="s">
        <v>1862</v>
      </c>
      <c r="C84" s="502"/>
      <c r="D84" s="502"/>
      <c r="E84" s="502"/>
      <c r="F84" s="502"/>
      <c r="G84" s="502"/>
      <c r="H84" s="502"/>
      <c r="I84" s="531"/>
      <c r="J84" s="531"/>
      <c r="K84" s="532"/>
      <c r="L84" s="533"/>
      <c r="M84" s="534"/>
      <c r="N84" s="2748"/>
      <c r="O84" s="2748"/>
      <c r="P84" s="2773"/>
      <c r="Q84" s="2734"/>
      <c r="R84" s="2720"/>
      <c r="S84" s="2720"/>
      <c r="T84" s="2720"/>
      <c r="U84" s="2720"/>
      <c r="V84" s="2720"/>
      <c r="W84" s="2720"/>
      <c r="X84" s="2720"/>
      <c r="Y84" s="2720"/>
      <c r="Z84" s="2720"/>
      <c r="AA84" s="2720"/>
      <c r="AB84" s="2720"/>
      <c r="AC84" s="2720"/>
      <c r="AD84" s="2720"/>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7"/>
      <c r="B86" s="494" t="s">
        <v>1863</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7"/>
      <c r="B87" s="494"/>
      <c r="C87" s="543"/>
      <c r="D87" s="543"/>
      <c r="E87" s="543"/>
      <c r="F87" s="543"/>
      <c r="G87" s="543"/>
      <c r="H87" s="543"/>
      <c r="I87" s="543"/>
      <c r="J87" s="544"/>
      <c r="K87" s="544"/>
      <c r="L87" s="545"/>
      <c r="M87" s="546"/>
      <c r="N87" s="2748"/>
      <c r="O87" s="2748"/>
      <c r="P87" s="2773"/>
      <c r="Q87" s="2734"/>
      <c r="R87" s="2720"/>
      <c r="S87" s="2720"/>
      <c r="T87" s="2720"/>
      <c r="U87" s="2720"/>
      <c r="V87" s="2720"/>
      <c r="W87" s="2720"/>
      <c r="X87" s="2720"/>
      <c r="Y87" s="2720"/>
      <c r="Z87" s="2720"/>
      <c r="AA87" s="2720"/>
      <c r="AB87" s="2720"/>
      <c r="AC87" s="2720"/>
      <c r="AD87" s="2720"/>
    </row>
    <row r="88" spans="1:30" ht="15.75" thickBot="1">
      <c r="A88" s="482"/>
      <c r="B88" s="491"/>
      <c r="C88" s="508"/>
      <c r="D88" s="484"/>
      <c r="E88" s="484"/>
      <c r="F88" s="484"/>
      <c r="G88" s="484"/>
      <c r="H88" s="484"/>
      <c r="I88" s="484"/>
      <c r="J88" s="484"/>
      <c r="K88" s="484"/>
      <c r="L88" s="484"/>
      <c r="M88" s="484"/>
      <c r="N88" s="2749"/>
      <c r="O88" s="2749"/>
      <c r="P88" s="2773"/>
      <c r="Q88" s="2734"/>
      <c r="R88" s="2720"/>
      <c r="S88" s="2720"/>
      <c r="T88" s="2720"/>
      <c r="U88" s="2720"/>
      <c r="V88" s="2720"/>
      <c r="W88" s="2720"/>
      <c r="X88" s="2720"/>
      <c r="Y88" s="2720"/>
      <c r="Z88" s="2720"/>
      <c r="AA88" s="2720"/>
      <c r="AB88" s="2720"/>
      <c r="AC88" s="2720"/>
      <c r="AD88" s="2720"/>
    </row>
    <row r="89" spans="1:30" s="421" customFormat="1" ht="15" thickTop="1">
      <c r="A89" s="541"/>
      <c r="B89" s="486" t="s">
        <v>1864</v>
      </c>
      <c r="C89" s="502"/>
      <c r="D89" s="502"/>
      <c r="E89" s="502"/>
      <c r="F89" s="502"/>
      <c r="G89" s="502"/>
      <c r="H89" s="502"/>
      <c r="I89" s="502"/>
      <c r="J89" s="502"/>
      <c r="K89" s="502"/>
      <c r="L89" s="502"/>
      <c r="M89" s="529"/>
      <c r="N89" s="2750"/>
      <c r="O89" s="2750"/>
      <c r="P89" s="2774"/>
      <c r="Q89" s="2741"/>
      <c r="R89" s="2742"/>
      <c r="S89" s="2742"/>
      <c r="T89" s="2742"/>
      <c r="U89" s="2742"/>
      <c r="V89" s="2742"/>
      <c r="W89" s="2742"/>
      <c r="X89" s="2742"/>
      <c r="Y89" s="2742"/>
      <c r="Z89" s="2742"/>
      <c r="AA89" s="2742"/>
      <c r="AB89" s="2742"/>
      <c r="AC89" s="2742"/>
      <c r="AD89" s="2742"/>
    </row>
    <row r="90" spans="1:30" s="421" customFormat="1" ht="15.75" thickBot="1">
      <c r="A90" s="501"/>
      <c r="B90" s="491"/>
      <c r="C90" s="508"/>
      <c r="D90" s="484"/>
      <c r="E90" s="484"/>
      <c r="F90" s="484"/>
      <c r="G90" s="484"/>
      <c r="H90" s="484"/>
      <c r="I90" s="484"/>
      <c r="J90" s="484"/>
      <c r="K90" s="484"/>
      <c r="L90" s="484"/>
      <c r="M90" s="485"/>
      <c r="N90" s="2750"/>
      <c r="O90" s="2750"/>
      <c r="P90" s="2774"/>
      <c r="Q90" s="2741"/>
      <c r="R90" s="2742"/>
      <c r="S90" s="2742"/>
      <c r="T90" s="2742"/>
      <c r="U90" s="2742"/>
      <c r="V90" s="2742"/>
      <c r="W90" s="2742"/>
      <c r="X90" s="2742"/>
      <c r="Y90" s="2742"/>
      <c r="Z90" s="2742"/>
      <c r="AA90" s="2742"/>
      <c r="AB90" s="2742"/>
      <c r="AC90" s="2742"/>
      <c r="AD90" s="2742"/>
    </row>
    <row r="91" spans="1:30" ht="15" thickTop="1">
      <c r="A91" s="547"/>
      <c r="B91" s="486">
        <f>B32</f>
        <v>111</v>
      </c>
      <c r="C91" s="497"/>
      <c r="D91" s="497"/>
      <c r="E91" s="497"/>
      <c r="F91" s="497"/>
      <c r="G91" s="502"/>
      <c r="H91" s="503"/>
      <c r="I91" s="503"/>
      <c r="J91" s="503"/>
      <c r="K91" s="503"/>
      <c r="L91" s="504"/>
      <c r="M91" s="505"/>
      <c r="N91" s="2748"/>
      <c r="O91" s="2748"/>
      <c r="P91" s="2773"/>
      <c r="Q91" s="2734"/>
      <c r="R91" s="2720"/>
      <c r="S91" s="2720"/>
      <c r="T91" s="2720"/>
      <c r="U91" s="2720"/>
      <c r="V91" s="2720"/>
      <c r="W91" s="2720"/>
      <c r="X91" s="2720"/>
      <c r="Y91" s="2720"/>
      <c r="Z91" s="2720"/>
      <c r="AA91" s="2720"/>
      <c r="AB91" s="2720"/>
      <c r="AC91" s="2720"/>
      <c r="AD91" s="2720"/>
    </row>
    <row r="92" spans="1:30" ht="15.75" thickBot="1">
      <c r="A92" s="482"/>
      <c r="B92" s="491"/>
      <c r="C92" s="508"/>
      <c r="D92" s="484"/>
      <c r="E92" s="484"/>
      <c r="F92" s="484"/>
      <c r="G92" s="508"/>
      <c r="H92" s="510"/>
      <c r="I92" s="510"/>
      <c r="J92" s="510"/>
      <c r="K92" s="510"/>
      <c r="L92" s="510"/>
      <c r="M92" s="511"/>
      <c r="N92" s="2749"/>
      <c r="O92" s="2749"/>
      <c r="P92" s="2773"/>
      <c r="Q92" s="2734"/>
      <c r="R92" s="2720"/>
      <c r="S92" s="2720"/>
      <c r="T92" s="2720"/>
      <c r="U92" s="2720"/>
      <c r="V92" s="2720"/>
      <c r="W92" s="2720"/>
      <c r="X92" s="2720"/>
      <c r="Y92" s="2720"/>
      <c r="Z92" s="2720"/>
      <c r="AA92" s="2720"/>
      <c r="AB92" s="2720"/>
      <c r="AC92" s="2720"/>
      <c r="AD92" s="2720"/>
    </row>
    <row r="93" spans="1:30" ht="15" thickTop="1">
      <c r="A93" s="547"/>
      <c r="B93" s="486">
        <f>B33</f>
        <v>111</v>
      </c>
      <c r="C93" s="497"/>
      <c r="D93" s="497"/>
      <c r="E93" s="497"/>
      <c r="F93" s="497"/>
      <c r="G93" s="502"/>
      <c r="H93" s="503"/>
      <c r="I93" s="503"/>
      <c r="J93" s="503"/>
      <c r="K93" s="503"/>
      <c r="L93" s="504"/>
      <c r="M93" s="505"/>
      <c r="N93" s="2748"/>
      <c r="O93" s="2748"/>
      <c r="P93" s="2773"/>
      <c r="Q93" s="2734"/>
      <c r="R93" s="2720"/>
      <c r="S93" s="2720"/>
      <c r="T93" s="2720"/>
      <c r="U93" s="2720"/>
      <c r="V93" s="2720"/>
      <c r="W93" s="2720"/>
      <c r="X93" s="2720"/>
      <c r="Y93" s="2720"/>
      <c r="Z93" s="2720"/>
      <c r="AA93" s="2720"/>
      <c r="AB93" s="2720"/>
      <c r="AC93" s="2720"/>
      <c r="AD93" s="2720"/>
    </row>
    <row r="94" spans="1:30" ht="15.75" thickBot="1">
      <c r="A94" s="482"/>
      <c r="B94" s="491"/>
      <c r="C94" s="508"/>
      <c r="D94" s="484"/>
      <c r="E94" s="484"/>
      <c r="F94" s="484"/>
      <c r="G94" s="508"/>
      <c r="H94" s="510"/>
      <c r="I94" s="510"/>
      <c r="J94" s="510"/>
      <c r="K94" s="510"/>
      <c r="L94" s="510"/>
      <c r="M94" s="511"/>
      <c r="N94" s="2749"/>
      <c r="O94" s="2749"/>
      <c r="P94" s="2773"/>
      <c r="Q94" s="2734"/>
      <c r="R94" s="2720"/>
      <c r="S94" s="2720"/>
      <c r="T94" s="2720"/>
      <c r="U94" s="2720"/>
      <c r="V94" s="2720"/>
      <c r="W94" s="2720"/>
      <c r="X94" s="2720"/>
      <c r="Y94" s="2720"/>
      <c r="Z94" s="2720"/>
      <c r="AA94" s="2720"/>
      <c r="AB94" s="2720"/>
      <c r="AC94" s="2720"/>
      <c r="AD94" s="2720"/>
    </row>
    <row r="95" spans="1:30" ht="15" thickTop="1">
      <c r="A95" s="547"/>
      <c r="B95" s="583">
        <f>B34</f>
        <v>111</v>
      </c>
      <c r="C95" s="497"/>
      <c r="D95" s="497"/>
      <c r="E95" s="497"/>
      <c r="F95" s="497"/>
      <c r="G95" s="502"/>
      <c r="H95" s="503"/>
      <c r="I95" s="503"/>
      <c r="J95" s="503"/>
      <c r="K95" s="503"/>
      <c r="L95" s="504"/>
      <c r="M95" s="505"/>
      <c r="N95" s="2749"/>
      <c r="O95" s="2749"/>
      <c r="P95" s="2776"/>
      <c r="Q95" s="2763"/>
      <c r="R95" s="2720"/>
      <c r="S95" s="2720"/>
      <c r="T95" s="2720"/>
      <c r="U95" s="2720"/>
      <c r="V95" s="2720"/>
      <c r="W95" s="2720"/>
      <c r="X95" s="2720"/>
      <c r="Y95" s="2720"/>
      <c r="Z95" s="2720"/>
      <c r="AA95" s="2720"/>
      <c r="AB95" s="2720"/>
      <c r="AC95" s="2720"/>
      <c r="AD95" s="2720"/>
    </row>
    <row r="96" spans="1:30" ht="15.75" thickBot="1">
      <c r="A96" s="482"/>
      <c r="B96" s="491"/>
      <c r="C96" s="508"/>
      <c r="D96" s="508"/>
      <c r="E96" s="508"/>
      <c r="F96" s="508"/>
      <c r="G96" s="508"/>
      <c r="H96" s="510"/>
      <c r="I96" s="510"/>
      <c r="J96" s="510"/>
      <c r="K96" s="510"/>
      <c r="L96" s="510"/>
      <c r="M96" s="511"/>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zoomScale="85" zoomScaleNormal="60" zoomScaleSheetLayoutView="85" workbookViewId="0">
      <selection activeCell="C9" sqref="C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8" style="356" customWidth="1"/>
    <col min="8" max="8" width="12.25" style="356" customWidth="1"/>
    <col min="9" max="9" width="1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1460</v>
      </c>
      <c r="B2" s="618">
        <f>F65</f>
        <v>30149</v>
      </c>
      <c r="C2" s="903"/>
      <c r="D2" s="903"/>
      <c r="E2" s="904"/>
      <c r="F2" s="905"/>
      <c r="G2" s="904"/>
      <c r="H2" s="904"/>
      <c r="I2" s="904"/>
      <c r="J2" s="904"/>
      <c r="K2" s="906"/>
      <c r="L2" s="2729"/>
      <c r="M2" s="2730"/>
      <c r="N2" s="2730"/>
      <c r="O2" s="2730"/>
      <c r="P2" s="697"/>
      <c r="Q2" s="697"/>
      <c r="R2" s="697"/>
      <c r="S2" s="697"/>
      <c r="T2" s="697"/>
      <c r="U2" s="697"/>
      <c r="V2" s="697"/>
      <c r="W2" s="697"/>
      <c r="X2" s="697"/>
      <c r="Y2" s="697"/>
      <c r="Z2" s="697"/>
      <c r="AA2" s="697"/>
      <c r="AB2" s="697"/>
      <c r="AC2" s="698"/>
      <c r="AD2" s="350"/>
    </row>
    <row r="3" spans="1:30" s="351" customFormat="1" ht="28.5" customHeight="1" thickBot="1">
      <c r="A3" s="202" t="s">
        <v>1462</v>
      </c>
      <c r="B3" s="557">
        <f>ROUND(IF(D3="",B2*10000/'数据-汇总表'!E3,B2*10000/D3),0)</f>
        <v>7593</v>
      </c>
      <c r="C3" s="202" t="s">
        <v>1867</v>
      </c>
      <c r="D3" s="1188"/>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30" ht="15">
      <c r="A4" s="354" t="s">
        <v>1767</v>
      </c>
      <c r="B4" s="355"/>
      <c r="C4" s="3720" t="s">
        <v>1768</v>
      </c>
      <c r="D4" s="3721"/>
      <c r="E4" s="3722" t="s">
        <v>1769</v>
      </c>
      <c r="F4" s="3723"/>
      <c r="G4" s="3720" t="s">
        <v>1770</v>
      </c>
      <c r="H4" s="3721"/>
      <c r="I4" s="3720" t="s">
        <v>1771</v>
      </c>
      <c r="J4" s="3721"/>
      <c r="K4" s="558" t="s">
        <v>1772</v>
      </c>
      <c r="L4" s="2710"/>
      <c r="M4" s="2711"/>
      <c r="N4" s="2711"/>
      <c r="O4" s="2711"/>
      <c r="P4" s="3724" t="s">
        <v>1773</v>
      </c>
      <c r="Q4" s="3725"/>
      <c r="R4" s="3730" t="s">
        <v>1769</v>
      </c>
      <c r="S4" s="3731"/>
      <c r="T4" s="3730" t="s">
        <v>1770</v>
      </c>
      <c r="U4" s="3731"/>
      <c r="V4" s="3736" t="s">
        <v>1771</v>
      </c>
      <c r="W4" s="3736"/>
      <c r="X4" s="1350"/>
      <c r="Y4" s="3730" t="s">
        <v>1773</v>
      </c>
      <c r="Z4" s="3731"/>
      <c r="AA4" s="3717" t="s">
        <v>1769</v>
      </c>
      <c r="AB4" s="3718" t="s">
        <v>1770</v>
      </c>
      <c r="AC4" s="3717" t="s">
        <v>1771</v>
      </c>
    </row>
    <row r="5" spans="1:30" ht="15">
      <c r="A5" s="357"/>
      <c r="B5" s="358"/>
      <c r="C5" s="3739" t="s">
        <v>1671</v>
      </c>
      <c r="D5" s="3740"/>
      <c r="E5" s="3746" t="str">
        <f>土地案例!A2</f>
        <v>北京市石景山区中关村科技园石景山园北Ⅱ区西井地块土地一级开发项目1606-605地块B23研发设计用地</v>
      </c>
      <c r="F5" s="3747"/>
      <c r="G5" s="3739" t="str">
        <f>土地案例!A3</f>
        <v>北京市石景山区首钢园区东南区土地一级开发项目1612-774地块B4综合性商业金融服务业用地</v>
      </c>
      <c r="H5" s="3740"/>
      <c r="I5" s="3739" t="str">
        <f>土地案例!A4</f>
        <v>北京市石景山区中关村科技园石景山园北Ⅱ区西井地块土地一级开发项目1606-034地块B1商业用地</v>
      </c>
      <c r="J5" s="3740"/>
      <c r="K5" s="558"/>
      <c r="L5" s="2710"/>
      <c r="M5" s="2711"/>
      <c r="N5" s="2711"/>
      <c r="O5" s="2711"/>
      <c r="P5" s="3726"/>
      <c r="Q5" s="3727"/>
      <c r="R5" s="3732"/>
      <c r="S5" s="3733"/>
      <c r="T5" s="3732"/>
      <c r="U5" s="3733"/>
      <c r="V5" s="3736"/>
      <c r="W5" s="3736"/>
      <c r="X5" s="1350"/>
      <c r="Y5" s="3732"/>
      <c r="Z5" s="3733"/>
      <c r="AA5" s="3718"/>
      <c r="AB5" s="3718"/>
      <c r="AC5" s="3718"/>
    </row>
    <row r="6" spans="1:30" ht="15.75" thickBot="1">
      <c r="A6" s="359"/>
      <c r="B6" s="360"/>
      <c r="C6" s="3737" t="s">
        <v>1675</v>
      </c>
      <c r="D6" s="3738"/>
      <c r="E6" s="3744" t="s">
        <v>1675</v>
      </c>
      <c r="F6" s="3745"/>
      <c r="G6" s="3737" t="s">
        <v>1675</v>
      </c>
      <c r="H6" s="3738"/>
      <c r="I6" s="3737" t="s">
        <v>1675</v>
      </c>
      <c r="J6" s="3738"/>
      <c r="K6" s="558" t="s">
        <v>1676</v>
      </c>
      <c r="L6" s="2710"/>
      <c r="M6" s="2711"/>
      <c r="N6" s="2711"/>
      <c r="O6" s="2711"/>
      <c r="P6" s="3728"/>
      <c r="Q6" s="3729"/>
      <c r="R6" s="3732"/>
      <c r="S6" s="3733"/>
      <c r="T6" s="3734"/>
      <c r="U6" s="3735"/>
      <c r="V6" s="3736"/>
      <c r="W6" s="3736"/>
      <c r="X6" s="1350"/>
      <c r="Y6" s="3734"/>
      <c r="Z6" s="3735"/>
      <c r="AA6" s="3719"/>
      <c r="AB6" s="3719"/>
      <c r="AC6" s="3719"/>
    </row>
    <row r="7" spans="1:30" s="108" customFormat="1" ht="15.75" thickBot="1">
      <c r="A7" s="361" t="s">
        <v>1677</v>
      </c>
      <c r="B7" s="362"/>
      <c r="C7" s="363">
        <f>'数据-取费表'!B2</f>
        <v>45322</v>
      </c>
      <c r="D7" s="364">
        <v>100</v>
      </c>
      <c r="E7" s="365">
        <f>土地案例!L2</f>
        <v>44931.000497685185</v>
      </c>
      <c r="F7" s="366">
        <f>SUMIF(69:69,YEAR(E7)&amp;"-"&amp;INT((MONTH(E7)+2)/3),70:70)</f>
        <v>100</v>
      </c>
      <c r="G7" s="1969">
        <f>土地案例!L3</f>
        <v>44495.000497685185</v>
      </c>
      <c r="H7" s="364">
        <f>SUMIF(69:69,YEAR(G7)&amp;"-"&amp;INT((MONTH(G7)+2)/3),70:70)</f>
        <v>100</v>
      </c>
      <c r="I7" s="1969">
        <f>土地案例!L4</f>
        <v>44179.000497685185</v>
      </c>
      <c r="J7" s="364">
        <f>SUMIF(69:69,YEAR(I7)&amp;"-"&amp;INT((MONTH(I7)+2)/3),70:70)</f>
        <v>100</v>
      </c>
      <c r="K7" s="559"/>
      <c r="L7" s="2712"/>
      <c r="M7" s="2713"/>
      <c r="N7" s="2713"/>
      <c r="O7" s="2713"/>
      <c r="P7" s="3741" t="s">
        <v>1678</v>
      </c>
      <c r="Q7" s="3743"/>
      <c r="R7" s="699" t="s">
        <v>14</v>
      </c>
      <c r="S7" s="700">
        <f t="shared" ref="S7:S15" si="0">F7</f>
        <v>100</v>
      </c>
      <c r="T7" s="699" t="s">
        <v>14</v>
      </c>
      <c r="U7" s="700">
        <f t="shared" ref="U7:U15" si="1">H7</f>
        <v>100</v>
      </c>
      <c r="V7" s="699" t="s">
        <v>14</v>
      </c>
      <c r="W7" s="700">
        <f t="shared" ref="W7:W15" si="2">J7</f>
        <v>100</v>
      </c>
      <c r="X7" s="701"/>
      <c r="Y7" s="3741" t="s">
        <v>1678</v>
      </c>
      <c r="Z7" s="3742"/>
      <c r="AA7" s="702">
        <f>D7/F7</f>
        <v>1</v>
      </c>
      <c r="AB7" s="702">
        <f>D7/H7</f>
        <v>1</v>
      </c>
      <c r="AC7" s="702">
        <f>D7/J7</f>
        <v>1</v>
      </c>
    </row>
    <row r="8" spans="1:30" s="108" customFormat="1" ht="15.75" thickBot="1">
      <c r="A8" s="361" t="s">
        <v>1679</v>
      </c>
      <c r="B8" s="362"/>
      <c r="C8" s="367" t="s">
        <v>1680</v>
      </c>
      <c r="D8" s="364">
        <v>100</v>
      </c>
      <c r="E8" s="367" t="s">
        <v>3594</v>
      </c>
      <c r="F8" s="366">
        <f>SUMIF(72:72,E8,73:73)-SUMIF(72:72,C8,73:73)+100</f>
        <v>100</v>
      </c>
      <c r="G8" s="367" t="s">
        <v>3594</v>
      </c>
      <c r="H8" s="364">
        <f>SUMIF(72:72,G8,73:73)-SUMIF(72:72,C8,73:73)+100</f>
        <v>100</v>
      </c>
      <c r="I8" s="367" t="s">
        <v>3594</v>
      </c>
      <c r="J8" s="364">
        <f>SUMIF(72:72,I8,73:73)-SUMIF(72:72,C8,73:73)+100</f>
        <v>100</v>
      </c>
      <c r="K8" s="559"/>
      <c r="L8" s="2712"/>
      <c r="M8" s="2713"/>
      <c r="N8" s="2713"/>
      <c r="O8" s="2713"/>
      <c r="P8" s="3741" t="s">
        <v>1681</v>
      </c>
      <c r="Q8" s="3742"/>
      <c r="R8" s="699" t="s">
        <v>14</v>
      </c>
      <c r="S8" s="700">
        <f t="shared" si="0"/>
        <v>100</v>
      </c>
      <c r="T8" s="699" t="s">
        <v>14</v>
      </c>
      <c r="U8" s="700">
        <f t="shared" si="1"/>
        <v>100</v>
      </c>
      <c r="V8" s="699" t="s">
        <v>14</v>
      </c>
      <c r="W8" s="700">
        <f t="shared" si="2"/>
        <v>100</v>
      </c>
      <c r="X8" s="701"/>
      <c r="Y8" s="3741" t="s">
        <v>1681</v>
      </c>
      <c r="Z8" s="3742"/>
      <c r="AA8" s="702">
        <f t="shared" ref="AA8:AA45" si="3">D8/F8</f>
        <v>1</v>
      </c>
      <c r="AB8" s="702">
        <f t="shared" ref="AB8:AB45" si="4">D8/H8</f>
        <v>1</v>
      </c>
      <c r="AC8" s="702">
        <f t="shared" ref="AC8:AC45" si="5">D8/J8</f>
        <v>1</v>
      </c>
    </row>
    <row r="9" spans="1:30" s="108" customFormat="1" ht="15">
      <c r="A9" s="368" t="s">
        <v>1682</v>
      </c>
      <c r="B9" s="63" t="s">
        <v>1683</v>
      </c>
      <c r="C9" s="1972" t="s">
        <v>3621</v>
      </c>
      <c r="D9" s="125">
        <v>100</v>
      </c>
      <c r="E9" s="1972" t="s">
        <v>3609</v>
      </c>
      <c r="F9" s="125">
        <f>SUMIF(74:74,E9,75:75)-SUMIF(74:74,C9,75:75)+100</f>
        <v>100</v>
      </c>
      <c r="G9" s="1972" t="s">
        <v>3582</v>
      </c>
      <c r="H9" s="125">
        <f>SUMIF(74:74,G9,75:75)-SUMIF(74:74,C9,75:75)+100</f>
        <v>120</v>
      </c>
      <c r="I9" s="1972" t="s">
        <v>3582</v>
      </c>
      <c r="J9" s="125">
        <f>SUMIF(74:74,I9,75:75)-SUMIF(74:74,C9,75:75)+100</f>
        <v>120</v>
      </c>
      <c r="K9" s="559"/>
      <c r="L9" s="2712"/>
      <c r="M9" s="2713"/>
      <c r="N9" s="2713"/>
      <c r="O9" s="2767"/>
      <c r="P9" s="3705" t="s">
        <v>1684</v>
      </c>
      <c r="Q9" s="1338" t="str">
        <f t="shared" ref="Q9:Q15" si="6">B9</f>
        <v>用途</v>
      </c>
      <c r="R9" s="699" t="s">
        <v>14</v>
      </c>
      <c r="S9" s="700">
        <f t="shared" si="0"/>
        <v>100</v>
      </c>
      <c r="T9" s="699" t="s">
        <v>14</v>
      </c>
      <c r="U9" s="700">
        <f t="shared" si="1"/>
        <v>120</v>
      </c>
      <c r="V9" s="699" t="s">
        <v>14</v>
      </c>
      <c r="W9" s="700">
        <f t="shared" si="2"/>
        <v>120</v>
      </c>
      <c r="X9" s="701"/>
      <c r="Y9" s="3579" t="s">
        <v>1685</v>
      </c>
      <c r="Z9" s="52" t="str">
        <f t="shared" ref="Z9:Z15" si="7">Q9</f>
        <v>用途</v>
      </c>
      <c r="AA9" s="702">
        <f t="shared" si="3"/>
        <v>1</v>
      </c>
      <c r="AB9" s="702">
        <f t="shared" si="4"/>
        <v>0.83333333333333337</v>
      </c>
      <c r="AC9" s="702">
        <f t="shared" si="5"/>
        <v>0.83333333333333337</v>
      </c>
    </row>
    <row r="10" spans="1:30" s="377" customFormat="1" ht="27">
      <c r="A10" s="373"/>
      <c r="B10" s="374" t="s">
        <v>1686</v>
      </c>
      <c r="C10" s="382"/>
      <c r="D10" s="126">
        <v>100</v>
      </c>
      <c r="E10" s="415"/>
      <c r="F10" s="126">
        <f>ROUND(100/'数据-取费表'!G16,0)</f>
        <v>115</v>
      </c>
      <c r="G10" s="413"/>
      <c r="H10" s="126">
        <f>ROUND(100/'数据-取费表'!G16,0)</f>
        <v>115</v>
      </c>
      <c r="I10" s="413"/>
      <c r="J10" s="126">
        <f>ROUND(100/'数据-取费表'!G16,0)</f>
        <v>115</v>
      </c>
      <c r="K10" s="619"/>
      <c r="L10" s="2714"/>
      <c r="M10" s="2715"/>
      <c r="N10" s="2715"/>
      <c r="O10" s="2768"/>
      <c r="P10" s="3705"/>
      <c r="Q10" s="1338" t="str">
        <f t="shared" si="6"/>
        <v>土地使用年限（年）</v>
      </c>
      <c r="R10" s="699" t="s">
        <v>14</v>
      </c>
      <c r="S10" s="700">
        <f t="shared" si="0"/>
        <v>115</v>
      </c>
      <c r="T10" s="699" t="s">
        <v>14</v>
      </c>
      <c r="U10" s="700">
        <f t="shared" si="1"/>
        <v>115</v>
      </c>
      <c r="V10" s="699" t="s">
        <v>14</v>
      </c>
      <c r="W10" s="700">
        <f t="shared" si="2"/>
        <v>115</v>
      </c>
      <c r="X10" s="701"/>
      <c r="Y10" s="3579"/>
      <c r="Z10" s="52" t="str">
        <f t="shared" si="7"/>
        <v>土地使用年限（年）</v>
      </c>
      <c r="AA10" s="702">
        <f t="shared" si="3"/>
        <v>0.86956521739130432</v>
      </c>
      <c r="AB10" s="702">
        <f t="shared" si="4"/>
        <v>0.86956521739130432</v>
      </c>
      <c r="AC10" s="702">
        <f t="shared" si="5"/>
        <v>0.86956521739130432</v>
      </c>
    </row>
    <row r="11" spans="1:30" ht="15">
      <c r="A11" s="378"/>
      <c r="B11" s="374" t="s">
        <v>1687</v>
      </c>
      <c r="C11" s="379">
        <f>'数据-汇总表'!I6</f>
        <v>5.16</v>
      </c>
      <c r="D11" s="126">
        <v>100</v>
      </c>
      <c r="E11" s="379">
        <v>3</v>
      </c>
      <c r="F11" s="126">
        <f>LOOKUP(E11,79:79,80:80)-LOOKUP(C11,79:79,80:80)+100</f>
        <v>102</v>
      </c>
      <c r="G11" s="380">
        <v>3.5</v>
      </c>
      <c r="H11" s="126">
        <f>LOOKUP(G11,79:79,80:80)-LOOKUP(C11,79:79,80:80)+100</f>
        <v>102</v>
      </c>
      <c r="I11" s="379">
        <v>4</v>
      </c>
      <c r="J11" s="126">
        <f>LOOKUP(I11,79:79,80:80)-LOOKUP(C11,79:79,80:80)+100</f>
        <v>101</v>
      </c>
      <c r="K11" s="620">
        <v>1</v>
      </c>
      <c r="L11" s="2716"/>
      <c r="M11" s="2711"/>
      <c r="N11" s="2711"/>
      <c r="O11" s="2769"/>
      <c r="P11" s="3705"/>
      <c r="Q11" s="1338" t="str">
        <f t="shared" si="6"/>
        <v>容积率</v>
      </c>
      <c r="R11" s="699" t="s">
        <v>14</v>
      </c>
      <c r="S11" s="700">
        <f t="shared" si="0"/>
        <v>102</v>
      </c>
      <c r="T11" s="699" t="s">
        <v>14</v>
      </c>
      <c r="U11" s="700">
        <f t="shared" si="1"/>
        <v>102</v>
      </c>
      <c r="V11" s="699" t="s">
        <v>14</v>
      </c>
      <c r="W11" s="700">
        <f t="shared" si="2"/>
        <v>101</v>
      </c>
      <c r="X11" s="701"/>
      <c r="Y11" s="3579"/>
      <c r="Z11" s="52" t="str">
        <f t="shared" si="7"/>
        <v>容积率</v>
      </c>
      <c r="AA11" s="702">
        <f t="shared" si="3"/>
        <v>0.98039215686274506</v>
      </c>
      <c r="AB11" s="702">
        <f t="shared" si="4"/>
        <v>0.98039215686274506</v>
      </c>
      <c r="AC11" s="702">
        <f t="shared" si="5"/>
        <v>0.99009900990099009</v>
      </c>
    </row>
    <row r="12" spans="1:30" s="108" customFormat="1" ht="15">
      <c r="A12" s="381"/>
      <c r="B12" s="3459" t="s">
        <v>3595</v>
      </c>
      <c r="C12" s="3460" t="s">
        <v>3598</v>
      </c>
      <c r="D12" s="383">
        <v>100</v>
      </c>
      <c r="E12" s="3461" t="s">
        <v>3596</v>
      </c>
      <c r="F12" s="126">
        <f>SUMIF(81:81,E12,82:82)-SUMIF(81:81,C12,82:82)+100</f>
        <v>105</v>
      </c>
      <c r="G12" s="3462" t="s">
        <v>3585</v>
      </c>
      <c r="H12" s="126">
        <f>SUMIF(81:81,G12,82:82)-SUMIF(81:81,C12,82:82)+100</f>
        <v>105</v>
      </c>
      <c r="I12" s="3461" t="s">
        <v>3585</v>
      </c>
      <c r="J12" s="126">
        <f>SUMIF(81:81,I12,82:82)-SUMIF(81:81,C12,82:82)+100</f>
        <v>105</v>
      </c>
      <c r="K12" s="619"/>
      <c r="L12" s="2712"/>
      <c r="M12" s="2713"/>
      <c r="N12" s="2713"/>
      <c r="O12" s="2767"/>
      <c r="P12" s="3705"/>
      <c r="Q12" s="1338" t="str">
        <f t="shared" si="6"/>
        <v>是否自持</v>
      </c>
      <c r="R12" s="699" t="s">
        <v>14</v>
      </c>
      <c r="S12" s="700">
        <f t="shared" si="0"/>
        <v>105</v>
      </c>
      <c r="T12" s="699" t="s">
        <v>14</v>
      </c>
      <c r="U12" s="700">
        <f t="shared" si="1"/>
        <v>105</v>
      </c>
      <c r="V12" s="699" t="s">
        <v>14</v>
      </c>
      <c r="W12" s="700">
        <f t="shared" si="2"/>
        <v>105</v>
      </c>
      <c r="X12" s="701"/>
      <c r="Y12" s="3579"/>
      <c r="Z12" s="52" t="str">
        <f t="shared" si="7"/>
        <v>是否自持</v>
      </c>
      <c r="AA12" s="702">
        <f>D12/F12</f>
        <v>0.95238095238095233</v>
      </c>
      <c r="AB12" s="702">
        <f>D12/H12</f>
        <v>0.95238095238095233</v>
      </c>
      <c r="AC12" s="702">
        <f>D12/J12</f>
        <v>0.95238095238095233</v>
      </c>
    </row>
    <row r="13" spans="1:30" ht="15">
      <c r="A13" s="378"/>
      <c r="B13" s="1888">
        <v>111</v>
      </c>
      <c r="C13" s="384"/>
      <c r="D13" s="385">
        <v>100</v>
      </c>
      <c r="E13" s="497"/>
      <c r="F13" s="126">
        <f>SUMIF(83:83,E13,84:84)-SUMIF(83:83,C13,84:84)+100</f>
        <v>100</v>
      </c>
      <c r="G13" s="621"/>
      <c r="H13" s="385">
        <f>SUMIF(83:83,G13,84:84)-SUMIF(83:83,C13,84:84)+100</f>
        <v>100</v>
      </c>
      <c r="I13" s="621"/>
      <c r="J13" s="385">
        <f>SUMIF(83:83,I13,84:84)-SUMIF(83:83,C13,84:84)+100</f>
        <v>100</v>
      </c>
      <c r="K13" s="619"/>
      <c r="L13" s="2717"/>
      <c r="M13" s="2711"/>
      <c r="N13" s="2711"/>
      <c r="O13" s="2769"/>
      <c r="P13" s="3705"/>
      <c r="Q13" s="1338">
        <f t="shared" si="6"/>
        <v>111</v>
      </c>
      <c r="R13" s="699" t="s">
        <v>14</v>
      </c>
      <c r="S13" s="700">
        <f t="shared" si="0"/>
        <v>100</v>
      </c>
      <c r="T13" s="699" t="s">
        <v>14</v>
      </c>
      <c r="U13" s="700">
        <f t="shared" si="1"/>
        <v>100</v>
      </c>
      <c r="V13" s="699" t="s">
        <v>14</v>
      </c>
      <c r="W13" s="700">
        <f t="shared" si="2"/>
        <v>100</v>
      </c>
      <c r="X13" s="701"/>
      <c r="Y13" s="3579"/>
      <c r="Z13" s="52">
        <f t="shared" si="7"/>
        <v>111</v>
      </c>
      <c r="AA13" s="702">
        <f>D13/F13</f>
        <v>1</v>
      </c>
      <c r="AB13" s="702">
        <f>D13/H13</f>
        <v>1</v>
      </c>
      <c r="AC13" s="702">
        <f>D13/J13</f>
        <v>1</v>
      </c>
    </row>
    <row r="14" spans="1:30" ht="15.75" thickBot="1">
      <c r="A14" s="386"/>
      <c r="B14" s="1890">
        <v>111</v>
      </c>
      <c r="C14" s="387"/>
      <c r="D14" s="388">
        <v>100</v>
      </c>
      <c r="E14" s="497"/>
      <c r="F14" s="388">
        <f>SUMIF(85:85,E14,86:86)-SUMIF(85:85,C14,86:86)+100</f>
        <v>100</v>
      </c>
      <c r="G14" s="621"/>
      <c r="H14" s="388">
        <f>SUMIF(85:85,G14,86:86)-SUMIF(85:85,C14,86:86)+100</f>
        <v>100</v>
      </c>
      <c r="I14" s="621"/>
      <c r="J14" s="388">
        <f>SUMIF(85:85,I14,86:86)-SUMIF(85:85,C14,86:86)+100</f>
        <v>100</v>
      </c>
      <c r="K14" s="619"/>
      <c r="L14" s="2717"/>
      <c r="M14" s="2711"/>
      <c r="N14" s="2711"/>
      <c r="O14" s="2769"/>
      <c r="P14" s="3705"/>
      <c r="Q14" s="1338">
        <f t="shared" si="6"/>
        <v>111</v>
      </c>
      <c r="R14" s="699" t="s">
        <v>14</v>
      </c>
      <c r="S14" s="700">
        <f t="shared" si="0"/>
        <v>100</v>
      </c>
      <c r="T14" s="699" t="s">
        <v>14</v>
      </c>
      <c r="U14" s="700">
        <f t="shared" si="1"/>
        <v>100</v>
      </c>
      <c r="V14" s="699" t="s">
        <v>14</v>
      </c>
      <c r="W14" s="700">
        <f t="shared" si="2"/>
        <v>100</v>
      </c>
      <c r="X14" s="701"/>
      <c r="Y14" s="3579"/>
      <c r="Z14" s="52">
        <f t="shared" si="7"/>
        <v>111</v>
      </c>
      <c r="AA14" s="702">
        <f>D14/F14</f>
        <v>1</v>
      </c>
      <c r="AB14" s="702">
        <f>D14/H14</f>
        <v>1</v>
      </c>
      <c r="AC14" s="702">
        <f>D14/J14</f>
        <v>1</v>
      </c>
    </row>
    <row r="15" spans="1:30" ht="99.75" hidden="1">
      <c r="A15" s="390" t="s">
        <v>1688</v>
      </c>
      <c r="B15" s="61" t="s">
        <v>1256</v>
      </c>
      <c r="C15" s="1891"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7"/>
      <c r="M15" s="2711"/>
      <c r="N15" s="2711"/>
      <c r="O15" s="2769"/>
      <c r="P15" s="3707" t="s">
        <v>1689</v>
      </c>
      <c r="Q15" s="1347" t="str">
        <f t="shared" si="6"/>
        <v>居住社区成熟度</v>
      </c>
      <c r="R15" s="703" t="s">
        <v>14</v>
      </c>
      <c r="S15" s="704">
        <f t="shared" si="0"/>
        <v>100</v>
      </c>
      <c r="T15" s="703" t="s">
        <v>14</v>
      </c>
      <c r="U15" s="704">
        <f t="shared" si="1"/>
        <v>100</v>
      </c>
      <c r="V15" s="703" t="s">
        <v>14</v>
      </c>
      <c r="W15" s="704">
        <f t="shared" si="2"/>
        <v>100</v>
      </c>
      <c r="X15" s="1350"/>
      <c r="Y15" s="3707" t="s">
        <v>1689</v>
      </c>
      <c r="Z15" s="1351" t="str">
        <f t="shared" si="7"/>
        <v>居住社区成熟度</v>
      </c>
      <c r="AA15" s="1348">
        <f t="shared" si="3"/>
        <v>1</v>
      </c>
      <c r="AB15" s="1348">
        <f t="shared" si="4"/>
        <v>1</v>
      </c>
      <c r="AC15" s="1348">
        <f t="shared" si="5"/>
        <v>1</v>
      </c>
    </row>
    <row r="16" spans="1:30" ht="15" hidden="1">
      <c r="A16" s="378"/>
      <c r="B16" s="396"/>
      <c r="C16" s="397"/>
      <c r="D16" s="398"/>
      <c r="E16" s="1893"/>
      <c r="F16" s="398"/>
      <c r="G16" s="1893"/>
      <c r="H16" s="400"/>
      <c r="I16" s="1892"/>
      <c r="J16" s="398"/>
      <c r="K16" s="619"/>
      <c r="L16" s="2717"/>
      <c r="M16" s="2711"/>
      <c r="N16" s="2711"/>
      <c r="O16" s="2769"/>
      <c r="P16" s="3708"/>
      <c r="Q16" s="1347"/>
      <c r="R16" s="703"/>
      <c r="S16" s="704"/>
      <c r="T16" s="703"/>
      <c r="U16" s="704"/>
      <c r="V16" s="703"/>
      <c r="W16" s="704"/>
      <c r="X16" s="1350"/>
      <c r="Y16" s="3708"/>
      <c r="Z16" s="1351"/>
      <c r="AA16" s="1348">
        <v>1</v>
      </c>
      <c r="AB16" s="1348">
        <v>1</v>
      </c>
      <c r="AC16" s="1348">
        <v>1</v>
      </c>
    </row>
    <row r="17" spans="1:29" ht="71.25" hidden="1">
      <c r="A17" s="378"/>
      <c r="B17" s="401" t="s">
        <v>1775</v>
      </c>
      <c r="C17" s="1950"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7"/>
      <c r="M17" s="2711"/>
      <c r="N17" s="2711"/>
      <c r="O17" s="2769"/>
      <c r="P17" s="3708"/>
      <c r="Q17" s="1347" t="str">
        <f>B17</f>
        <v>商业繁华度</v>
      </c>
      <c r="R17" s="703" t="s">
        <v>14</v>
      </c>
      <c r="S17" s="704">
        <f>F17</f>
        <v>100</v>
      </c>
      <c r="T17" s="703" t="s">
        <v>14</v>
      </c>
      <c r="U17" s="704">
        <f>H17</f>
        <v>100</v>
      </c>
      <c r="V17" s="703" t="s">
        <v>14</v>
      </c>
      <c r="W17" s="704">
        <f>J17</f>
        <v>100</v>
      </c>
      <c r="X17" s="1350"/>
      <c r="Y17" s="3708"/>
      <c r="Z17" s="1351" t="str">
        <f>Q17</f>
        <v>商业繁华度</v>
      </c>
      <c r="AA17" s="1348">
        <f t="shared" si="3"/>
        <v>1</v>
      </c>
      <c r="AB17" s="1348">
        <f t="shared" si="4"/>
        <v>1</v>
      </c>
      <c r="AC17" s="1348">
        <f t="shared" si="5"/>
        <v>1</v>
      </c>
    </row>
    <row r="18" spans="1:29" ht="15" hidden="1">
      <c r="A18" s="378"/>
      <c r="B18" s="406"/>
      <c r="C18" s="1896"/>
      <c r="D18" s="400"/>
      <c r="E18" s="1898"/>
      <c r="F18" s="400"/>
      <c r="G18" s="1898"/>
      <c r="H18" s="398"/>
      <c r="I18" s="1897"/>
      <c r="J18" s="398"/>
      <c r="K18" s="619"/>
      <c r="L18" s="2717"/>
      <c r="M18" s="2711"/>
      <c r="N18" s="2711"/>
      <c r="O18" s="2769"/>
      <c r="P18" s="3708"/>
      <c r="Q18" s="1347"/>
      <c r="R18" s="703"/>
      <c r="S18" s="704"/>
      <c r="T18" s="703"/>
      <c r="U18" s="704"/>
      <c r="V18" s="703"/>
      <c r="W18" s="704"/>
      <c r="X18" s="1350"/>
      <c r="Y18" s="3708"/>
      <c r="Z18" s="1351"/>
      <c r="AA18" s="1348">
        <v>1</v>
      </c>
      <c r="AB18" s="1348">
        <v>1</v>
      </c>
      <c r="AC18" s="1348">
        <v>1</v>
      </c>
    </row>
    <row r="19" spans="1:29" ht="71.25">
      <c r="A19" s="378"/>
      <c r="B19" s="401" t="s">
        <v>1809</v>
      </c>
      <c r="C19" s="1950" t="str">
        <f>估价对象房地状况!C17</f>
        <v>估价对象位于XX商圈，周边办公楼项目较多，入驻率高，办公集聚程度较好</v>
      </c>
      <c r="D19" s="405">
        <v>100</v>
      </c>
      <c r="E19" s="407"/>
      <c r="F19" s="405">
        <f>SUMIF(91:91,E20,92:92)-SUMIF(91:91,C20,92:92)+100</f>
        <v>102</v>
      </c>
      <c r="G19" s="407"/>
      <c r="H19" s="400">
        <f>SUMIF(91:91,G20,92:92)-SUMIF(91:91,C20,92:92)+100</f>
        <v>102</v>
      </c>
      <c r="I19" s="409"/>
      <c r="J19" s="400">
        <f>SUMIF(91:91,I20,92:92)-SUMIF(91:91,C20,92:92)+100</f>
        <v>102</v>
      </c>
      <c r="K19" s="620">
        <v>2</v>
      </c>
      <c r="L19" s="2717"/>
      <c r="M19" s="2711"/>
      <c r="N19" s="2711"/>
      <c r="O19" s="2769"/>
      <c r="P19" s="3708"/>
      <c r="Q19" s="1347" t="str">
        <f>B19</f>
        <v>办公集聚程度</v>
      </c>
      <c r="R19" s="703" t="s">
        <v>14</v>
      </c>
      <c r="S19" s="704">
        <f>F19</f>
        <v>102</v>
      </c>
      <c r="T19" s="703" t="s">
        <v>14</v>
      </c>
      <c r="U19" s="704">
        <f>H19</f>
        <v>102</v>
      </c>
      <c r="V19" s="703" t="s">
        <v>14</v>
      </c>
      <c r="W19" s="704">
        <f>J19</f>
        <v>102</v>
      </c>
      <c r="X19" s="1350"/>
      <c r="Y19" s="3708"/>
      <c r="Z19" s="1351" t="str">
        <f>Q19</f>
        <v>办公集聚程度</v>
      </c>
      <c r="AA19" s="1348">
        <f t="shared" si="3"/>
        <v>0.98039215686274506</v>
      </c>
      <c r="AB19" s="1348">
        <f t="shared" si="4"/>
        <v>0.98039215686274506</v>
      </c>
      <c r="AC19" s="1348">
        <f t="shared" si="5"/>
        <v>0.98039215686274506</v>
      </c>
    </row>
    <row r="20" spans="1:29" ht="15">
      <c r="A20" s="378"/>
      <c r="B20" s="406"/>
      <c r="C20" s="397" t="s">
        <v>3592</v>
      </c>
      <c r="D20" s="398"/>
      <c r="E20" s="1893" t="s">
        <v>3593</v>
      </c>
      <c r="F20" s="398"/>
      <c r="G20" s="1893" t="s">
        <v>3593</v>
      </c>
      <c r="H20" s="398"/>
      <c r="I20" s="1892" t="s">
        <v>3593</v>
      </c>
      <c r="J20" s="398"/>
      <c r="K20" s="619"/>
      <c r="L20" s="2717"/>
      <c r="M20" s="2711"/>
      <c r="N20" s="2711"/>
      <c r="O20" s="2769"/>
      <c r="P20" s="3708"/>
      <c r="Q20" s="1347"/>
      <c r="R20" s="703"/>
      <c r="S20" s="704"/>
      <c r="T20" s="703"/>
      <c r="U20" s="704"/>
      <c r="V20" s="703"/>
      <c r="W20" s="704"/>
      <c r="X20" s="1350"/>
      <c r="Y20" s="3708"/>
      <c r="Z20" s="1351"/>
      <c r="AA20" s="1348">
        <v>1</v>
      </c>
      <c r="AB20" s="1348">
        <v>1</v>
      </c>
      <c r="AC20" s="1348">
        <v>1</v>
      </c>
    </row>
    <row r="21" spans="1:29" ht="85.5">
      <c r="A21" s="378"/>
      <c r="B21" s="401" t="s">
        <v>1831</v>
      </c>
      <c r="C21" s="1895" t="str">
        <f>估价对象房地状况!C18</f>
        <v>估价对象周边道路状况、公共交通通达情况、停车便捷程度，综合评价交通便捷度较好</v>
      </c>
      <c r="D21" s="400">
        <v>100</v>
      </c>
      <c r="E21" s="402"/>
      <c r="F21" s="405">
        <f>SUMIF(93:93,E22,94:94)-SUMIF(93:93,C22,94:94)+100</f>
        <v>102</v>
      </c>
      <c r="G21" s="402"/>
      <c r="H21" s="400">
        <f>SUMIF(93:93,G22,94:94)-SUMIF(93:93,C22,94:94)+100</f>
        <v>102</v>
      </c>
      <c r="I21" s="404"/>
      <c r="J21" s="400">
        <f>SUMIF(93:93,I22,94:94)-SUMIF(93:93,C22,94:94)+100</f>
        <v>102</v>
      </c>
      <c r="K21" s="620">
        <v>2</v>
      </c>
      <c r="L21" s="2717"/>
      <c r="M21" s="2711"/>
      <c r="N21" s="2711"/>
      <c r="O21" s="2769"/>
      <c r="P21" s="3708"/>
      <c r="Q21" s="1347" t="str">
        <f>B21</f>
        <v>交通便捷度</v>
      </c>
      <c r="R21" s="703" t="s">
        <v>14</v>
      </c>
      <c r="S21" s="704">
        <f>F21</f>
        <v>102</v>
      </c>
      <c r="T21" s="703" t="s">
        <v>14</v>
      </c>
      <c r="U21" s="704">
        <f>H21</f>
        <v>102</v>
      </c>
      <c r="V21" s="703" t="s">
        <v>14</v>
      </c>
      <c r="W21" s="704">
        <f>J21</f>
        <v>102</v>
      </c>
      <c r="X21" s="1350"/>
      <c r="Y21" s="3708"/>
      <c r="Z21" s="1351" t="str">
        <f>Q21</f>
        <v>交通便捷度</v>
      </c>
      <c r="AA21" s="1348">
        <f t="shared" si="3"/>
        <v>0.98039215686274506</v>
      </c>
      <c r="AB21" s="1348">
        <f t="shared" si="4"/>
        <v>0.98039215686274506</v>
      </c>
      <c r="AC21" s="1348">
        <f t="shared" si="5"/>
        <v>0.98039215686274506</v>
      </c>
    </row>
    <row r="22" spans="1:29" ht="15">
      <c r="A22" s="378"/>
      <c r="B22" s="1127"/>
      <c r="C22" s="397" t="s">
        <v>3592</v>
      </c>
      <c r="D22" s="400"/>
      <c r="E22" s="1893" t="s">
        <v>3593</v>
      </c>
      <c r="F22" s="398"/>
      <c r="G22" s="1893" t="s">
        <v>3593</v>
      </c>
      <c r="H22" s="398"/>
      <c r="I22" s="1892" t="s">
        <v>3593</v>
      </c>
      <c r="J22" s="398"/>
      <c r="K22" s="619"/>
      <c r="L22" s="2717"/>
      <c r="M22" s="2711"/>
      <c r="N22" s="2711"/>
      <c r="O22" s="2769"/>
      <c r="P22" s="3708"/>
      <c r="Q22" s="1347"/>
      <c r="R22" s="703"/>
      <c r="S22" s="704"/>
      <c r="T22" s="703"/>
      <c r="U22" s="704"/>
      <c r="V22" s="703"/>
      <c r="W22" s="704"/>
      <c r="X22" s="1350"/>
      <c r="Y22" s="3708"/>
      <c r="Z22" s="1351"/>
      <c r="AA22" s="1348">
        <v>1</v>
      </c>
      <c r="AB22" s="1348">
        <v>1</v>
      </c>
      <c r="AC22" s="1348">
        <v>1</v>
      </c>
    </row>
    <row r="23" spans="1:29" ht="15">
      <c r="A23" s="357"/>
      <c r="B23" s="401" t="s">
        <v>1868</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v>2</v>
      </c>
      <c r="L23" s="2717"/>
      <c r="M23" s="2711"/>
      <c r="N23" s="2711"/>
      <c r="O23" s="2769"/>
      <c r="P23" s="3708"/>
      <c r="Q23" s="1347" t="str">
        <f t="shared" ref="Q23:Q37" si="8">B23</f>
        <v>区域土地利用方向</v>
      </c>
      <c r="R23" s="703" t="s">
        <v>14</v>
      </c>
      <c r="S23" s="704">
        <f>F23</f>
        <v>100</v>
      </c>
      <c r="T23" s="703" t="s">
        <v>14</v>
      </c>
      <c r="U23" s="704">
        <f>H23</f>
        <v>100</v>
      </c>
      <c r="V23" s="703" t="s">
        <v>14</v>
      </c>
      <c r="W23" s="704">
        <f>J23</f>
        <v>100</v>
      </c>
      <c r="X23" s="1350"/>
      <c r="Y23" s="3708"/>
      <c r="Z23" s="1351" t="str">
        <f>Q23</f>
        <v>区域土地利用方向</v>
      </c>
      <c r="AA23" s="1348">
        <f t="shared" si="3"/>
        <v>1</v>
      </c>
      <c r="AB23" s="1348">
        <f t="shared" si="4"/>
        <v>1</v>
      </c>
      <c r="AC23" s="1348">
        <f t="shared" si="5"/>
        <v>1</v>
      </c>
    </row>
    <row r="24" spans="1:29" ht="15">
      <c r="A24" s="357"/>
      <c r="B24" s="406"/>
      <c r="C24" s="564" t="s">
        <v>3593</v>
      </c>
      <c r="D24" s="398"/>
      <c r="E24" s="1892" t="s">
        <v>3593</v>
      </c>
      <c r="F24" s="398"/>
      <c r="G24" s="1892" t="s">
        <v>3593</v>
      </c>
      <c r="H24" s="398"/>
      <c r="I24" s="1892" t="s">
        <v>3593</v>
      </c>
      <c r="J24" s="398"/>
      <c r="K24" s="738"/>
      <c r="L24" s="2717"/>
      <c r="M24" s="2711"/>
      <c r="N24" s="2711"/>
      <c r="O24" s="2769"/>
      <c r="P24" s="3708"/>
      <c r="Q24" s="1347"/>
      <c r="R24" s="703"/>
      <c r="S24" s="704"/>
      <c r="T24" s="703"/>
      <c r="U24" s="704"/>
      <c r="V24" s="703"/>
      <c r="W24" s="704"/>
      <c r="X24" s="1350"/>
      <c r="Y24" s="3708"/>
      <c r="Z24" s="1351"/>
      <c r="AA24" s="1348"/>
      <c r="AB24" s="1348"/>
      <c r="AC24" s="1348"/>
    </row>
    <row r="25" spans="1:29" ht="57">
      <c r="A25" s="357"/>
      <c r="B25" s="1127" t="s">
        <v>1869</v>
      </c>
      <c r="C25" s="1950"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v>2</v>
      </c>
      <c r="L25" s="2717"/>
      <c r="M25" s="2711"/>
      <c r="N25" s="2711"/>
      <c r="O25" s="2769"/>
      <c r="P25" s="3708"/>
      <c r="Q25" s="1347" t="str">
        <f t="shared" si="8"/>
        <v>自然及人文环境状况</v>
      </c>
      <c r="R25" s="703" t="s">
        <v>14</v>
      </c>
      <c r="S25" s="704">
        <f>F25</f>
        <v>100</v>
      </c>
      <c r="T25" s="703" t="s">
        <v>14</v>
      </c>
      <c r="U25" s="704">
        <f>H25</f>
        <v>100</v>
      </c>
      <c r="V25" s="703" t="s">
        <v>14</v>
      </c>
      <c r="W25" s="704">
        <f>J25</f>
        <v>100</v>
      </c>
      <c r="X25" s="1350"/>
      <c r="Y25" s="3708"/>
      <c r="Z25" s="1351" t="str">
        <f>Q25</f>
        <v>自然及人文环境状况</v>
      </c>
      <c r="AA25" s="1348">
        <f t="shared" si="3"/>
        <v>1</v>
      </c>
      <c r="AB25" s="1348">
        <f t="shared" si="4"/>
        <v>1</v>
      </c>
      <c r="AC25" s="1348">
        <f t="shared" si="5"/>
        <v>1</v>
      </c>
    </row>
    <row r="26" spans="1:29" ht="15">
      <c r="A26" s="357"/>
      <c r="B26" s="406"/>
      <c r="C26" s="564" t="s">
        <v>3593</v>
      </c>
      <c r="D26" s="398"/>
      <c r="E26" s="1892" t="s">
        <v>3593</v>
      </c>
      <c r="F26" s="398"/>
      <c r="G26" s="1892" t="s">
        <v>3593</v>
      </c>
      <c r="H26" s="398"/>
      <c r="I26" s="1892" t="s">
        <v>3593</v>
      </c>
      <c r="J26" s="398"/>
      <c r="K26" s="619"/>
      <c r="L26" s="2717"/>
      <c r="M26" s="2711"/>
      <c r="N26" s="2711"/>
      <c r="O26" s="2769"/>
      <c r="P26" s="3708"/>
      <c r="Q26" s="1347"/>
      <c r="R26" s="703"/>
      <c r="S26" s="704"/>
      <c r="T26" s="703"/>
      <c r="U26" s="704"/>
      <c r="V26" s="703"/>
      <c r="W26" s="704"/>
      <c r="X26" s="1350"/>
      <c r="Y26" s="3708"/>
      <c r="Z26" s="1351"/>
      <c r="AA26" s="1348">
        <v>1</v>
      </c>
      <c r="AB26" s="1348">
        <v>1</v>
      </c>
      <c r="AC26" s="1348">
        <v>1</v>
      </c>
    </row>
    <row r="27" spans="1:29" s="108" customFormat="1" ht="42.75">
      <c r="A27" s="596"/>
      <c r="B27" s="1127" t="s">
        <v>1776</v>
      </c>
      <c r="C27" s="1895"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v>2</v>
      </c>
      <c r="L27" s="2712"/>
      <c r="M27" s="2713"/>
      <c r="N27" s="2713"/>
      <c r="O27" s="2767"/>
      <c r="P27" s="3708"/>
      <c r="Q27" s="1338" t="str">
        <f t="shared" si="8"/>
        <v>公共配套设施</v>
      </c>
      <c r="R27" s="699" t="s">
        <v>14</v>
      </c>
      <c r="S27" s="700">
        <f>F27</f>
        <v>100</v>
      </c>
      <c r="T27" s="699" t="s">
        <v>14</v>
      </c>
      <c r="U27" s="700">
        <f>H27</f>
        <v>100</v>
      </c>
      <c r="V27" s="699" t="s">
        <v>14</v>
      </c>
      <c r="W27" s="700">
        <f>J27</f>
        <v>100</v>
      </c>
      <c r="X27" s="701"/>
      <c r="Y27" s="3708"/>
      <c r="Z27" s="52" t="str">
        <f>Q27</f>
        <v>公共配套设施</v>
      </c>
      <c r="AA27" s="1348">
        <f>D27/F27</f>
        <v>1</v>
      </c>
      <c r="AB27" s="1348">
        <f>D27/H27</f>
        <v>1</v>
      </c>
      <c r="AC27" s="1348">
        <f>D27/J27</f>
        <v>1</v>
      </c>
    </row>
    <row r="28" spans="1:29" s="108" customFormat="1" ht="15">
      <c r="A28" s="596"/>
      <c r="B28" s="406"/>
      <c r="C28" s="1973" t="s">
        <v>3593</v>
      </c>
      <c r="D28" s="398"/>
      <c r="E28" s="1892" t="s">
        <v>3593</v>
      </c>
      <c r="F28" s="398"/>
      <c r="G28" s="1892" t="s">
        <v>3593</v>
      </c>
      <c r="H28" s="398"/>
      <c r="I28" s="1892" t="s">
        <v>3593</v>
      </c>
      <c r="J28" s="398"/>
      <c r="K28" s="619"/>
      <c r="L28" s="2712"/>
      <c r="M28" s="2713"/>
      <c r="N28" s="2713"/>
      <c r="O28" s="2767"/>
      <c r="P28" s="3708"/>
      <c r="Q28" s="1338"/>
      <c r="R28" s="699"/>
      <c r="S28" s="700"/>
      <c r="T28" s="699"/>
      <c r="U28" s="700"/>
      <c r="V28" s="699"/>
      <c r="W28" s="700"/>
      <c r="X28" s="701"/>
      <c r="Y28" s="3708"/>
      <c r="Z28" s="52"/>
      <c r="AA28" s="1348">
        <v>1</v>
      </c>
      <c r="AB28" s="1348">
        <v>1</v>
      </c>
      <c r="AC28" s="1348">
        <v>1</v>
      </c>
    </row>
    <row r="29" spans="1:29" s="108" customFormat="1" ht="28.5">
      <c r="A29" s="596"/>
      <c r="B29" s="1127" t="s">
        <v>1777</v>
      </c>
      <c r="C29" s="1895"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v>1</v>
      </c>
      <c r="L29" s="2712"/>
      <c r="M29" s="2713"/>
      <c r="N29" s="2713"/>
      <c r="O29" s="2767"/>
      <c r="P29" s="3708"/>
      <c r="Q29" s="1338" t="str">
        <f t="shared" ref="Q29" si="9">B29</f>
        <v>基础设施水平</v>
      </c>
      <c r="R29" s="699" t="s">
        <v>14</v>
      </c>
      <c r="S29" s="700">
        <f>F29</f>
        <v>100</v>
      </c>
      <c r="T29" s="699" t="s">
        <v>14</v>
      </c>
      <c r="U29" s="700">
        <f>H29</f>
        <v>100</v>
      </c>
      <c r="V29" s="699" t="s">
        <v>14</v>
      </c>
      <c r="W29" s="700">
        <f>J29</f>
        <v>100</v>
      </c>
      <c r="X29" s="701"/>
      <c r="Y29" s="3708"/>
      <c r="Z29" s="52" t="str">
        <f>Q29</f>
        <v>基础设施水平</v>
      </c>
      <c r="AA29" s="1348">
        <f>D29/F29</f>
        <v>1</v>
      </c>
      <c r="AB29" s="1348">
        <f>D29/H29</f>
        <v>1</v>
      </c>
      <c r="AC29" s="1348">
        <f>D29/J29</f>
        <v>1</v>
      </c>
    </row>
    <row r="30" spans="1:29" s="108" customFormat="1" ht="15.75" thickBot="1">
      <c r="A30" s="596"/>
      <c r="B30" s="406"/>
      <c r="C30" s="1973" t="s">
        <v>3587</v>
      </c>
      <c r="D30" s="398"/>
      <c r="E30" s="1973" t="s">
        <v>3587</v>
      </c>
      <c r="F30" s="398"/>
      <c r="G30" s="1973" t="s">
        <v>3587</v>
      </c>
      <c r="H30" s="398"/>
      <c r="I30" s="1973" t="s">
        <v>3587</v>
      </c>
      <c r="J30" s="398"/>
      <c r="K30" s="619"/>
      <c r="L30" s="2712"/>
      <c r="M30" s="2713"/>
      <c r="N30" s="2713"/>
      <c r="O30" s="2767"/>
      <c r="P30" s="3708"/>
      <c r="Q30" s="1338"/>
      <c r="R30" s="699"/>
      <c r="S30" s="700"/>
      <c r="T30" s="699"/>
      <c r="U30" s="700"/>
      <c r="V30" s="699"/>
      <c r="W30" s="700"/>
      <c r="X30" s="701"/>
      <c r="Y30" s="3708"/>
      <c r="Z30" s="52"/>
      <c r="AA30" s="1348">
        <v>1</v>
      </c>
      <c r="AB30" s="1348">
        <v>1</v>
      </c>
      <c r="AC30" s="1348">
        <v>1</v>
      </c>
    </row>
    <row r="31" spans="1:29" ht="15" hidden="1">
      <c r="A31" s="378"/>
      <c r="B31" s="406" t="s">
        <v>1778</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7"/>
      <c r="M31" s="2711"/>
      <c r="N31" s="2711"/>
      <c r="O31" s="2769"/>
      <c r="P31" s="3708"/>
      <c r="Q31" s="1347" t="str">
        <f t="shared" si="8"/>
        <v>临街状况</v>
      </c>
      <c r="R31" s="703" t="s">
        <v>14</v>
      </c>
      <c r="S31" s="704">
        <f t="shared" ref="S31:S45" si="10">F31</f>
        <v>100</v>
      </c>
      <c r="T31" s="703" t="s">
        <v>14</v>
      </c>
      <c r="U31" s="704">
        <f t="shared" ref="U31:U45" si="11">H31</f>
        <v>100</v>
      </c>
      <c r="V31" s="703" t="s">
        <v>14</v>
      </c>
      <c r="W31" s="704">
        <f t="shared" ref="W31:W45" si="12">J31</f>
        <v>100</v>
      </c>
      <c r="X31" s="1350"/>
      <c r="Y31" s="3708"/>
      <c r="Z31" s="1351" t="str">
        <f t="shared" ref="Z31:Z45" si="13">Q31</f>
        <v>临街状况</v>
      </c>
      <c r="AA31" s="1348">
        <f t="shared" si="3"/>
        <v>1</v>
      </c>
      <c r="AB31" s="1348">
        <f t="shared" si="4"/>
        <v>1</v>
      </c>
      <c r="AC31" s="1348">
        <f t="shared" si="5"/>
        <v>1</v>
      </c>
    </row>
    <row r="32" spans="1:29" ht="27" hidden="1">
      <c r="A32" s="378"/>
      <c r="B32" s="1127"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7"/>
      <c r="M32" s="2711"/>
      <c r="N32" s="2711"/>
      <c r="O32" s="2769"/>
      <c r="P32" s="3708"/>
      <c r="Q32" s="1347" t="str">
        <f t="shared" si="8"/>
        <v>毗邻道路的类型与等级</v>
      </c>
      <c r="R32" s="703" t="s">
        <v>14</v>
      </c>
      <c r="S32" s="704">
        <f t="shared" si="10"/>
        <v>100</v>
      </c>
      <c r="T32" s="703" t="s">
        <v>14</v>
      </c>
      <c r="U32" s="704">
        <f t="shared" si="11"/>
        <v>100</v>
      </c>
      <c r="V32" s="703" t="s">
        <v>14</v>
      </c>
      <c r="W32" s="704">
        <f t="shared" si="12"/>
        <v>100</v>
      </c>
      <c r="X32" s="1350"/>
      <c r="Y32" s="3708"/>
      <c r="Z32" s="1351" t="str">
        <f t="shared" si="13"/>
        <v>毗邻道路的类型与等级</v>
      </c>
      <c r="AA32" s="1348">
        <f t="shared" si="3"/>
        <v>1</v>
      </c>
      <c r="AB32" s="1348">
        <f t="shared" si="4"/>
        <v>1</v>
      </c>
      <c r="AC32" s="1348">
        <f t="shared" si="5"/>
        <v>1</v>
      </c>
    </row>
    <row r="33" spans="1:29" ht="15" hidden="1">
      <c r="A33" s="378"/>
      <c r="B33" s="406"/>
      <c r="C33" s="397"/>
      <c r="D33" s="398"/>
      <c r="E33" s="1899"/>
      <c r="F33" s="398"/>
      <c r="G33" s="1899"/>
      <c r="H33" s="398"/>
      <c r="I33" s="397"/>
      <c r="J33" s="398"/>
      <c r="K33" s="561"/>
      <c r="L33" s="2717"/>
      <c r="M33" s="2711"/>
      <c r="N33" s="2711"/>
      <c r="O33" s="2769"/>
      <c r="P33" s="3708"/>
      <c r="Q33" s="1347"/>
      <c r="R33" s="703"/>
      <c r="S33" s="704"/>
      <c r="T33" s="703"/>
      <c r="U33" s="704"/>
      <c r="V33" s="703"/>
      <c r="W33" s="704"/>
      <c r="X33" s="1350"/>
      <c r="Y33" s="3708"/>
      <c r="Z33" s="1351"/>
      <c r="AA33" s="1348">
        <v>1</v>
      </c>
      <c r="AB33" s="1348">
        <v>1</v>
      </c>
      <c r="AC33" s="1348">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7"/>
      <c r="M34" s="2711"/>
      <c r="N34" s="2711"/>
      <c r="O34" s="2769"/>
      <c r="P34" s="3708"/>
      <c r="Q34" s="1347" t="str">
        <f t="shared" si="8"/>
        <v>土地级别</v>
      </c>
      <c r="R34" s="703" t="s">
        <v>14</v>
      </c>
      <c r="S34" s="704">
        <f t="shared" si="10"/>
        <v>100</v>
      </c>
      <c r="T34" s="703" t="s">
        <v>14</v>
      </c>
      <c r="U34" s="704">
        <f t="shared" si="11"/>
        <v>100</v>
      </c>
      <c r="V34" s="703" t="s">
        <v>14</v>
      </c>
      <c r="W34" s="704">
        <f t="shared" si="12"/>
        <v>100</v>
      </c>
      <c r="X34" s="1350"/>
      <c r="Y34" s="3708"/>
      <c r="Z34" s="1351" t="str">
        <f t="shared" si="13"/>
        <v>土地级别</v>
      </c>
      <c r="AA34" s="1348">
        <f t="shared" si="3"/>
        <v>1</v>
      </c>
      <c r="AB34" s="1348">
        <f t="shared" si="4"/>
        <v>1</v>
      </c>
      <c r="AC34" s="1348">
        <f t="shared" si="5"/>
        <v>1</v>
      </c>
    </row>
    <row r="35" spans="1:29" ht="15" hidden="1">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7"/>
      <c r="M35" s="2711"/>
      <c r="N35" s="2711"/>
      <c r="O35" s="2769"/>
      <c r="P35" s="3708"/>
      <c r="Q35" s="1347">
        <f t="shared" si="8"/>
        <v>111</v>
      </c>
      <c r="R35" s="703" t="s">
        <v>14</v>
      </c>
      <c r="S35" s="704">
        <f t="shared" si="10"/>
        <v>100</v>
      </c>
      <c r="T35" s="703" t="s">
        <v>14</v>
      </c>
      <c r="U35" s="704">
        <f t="shared" si="11"/>
        <v>100</v>
      </c>
      <c r="V35" s="703" t="s">
        <v>14</v>
      </c>
      <c r="W35" s="704">
        <f t="shared" si="12"/>
        <v>100</v>
      </c>
      <c r="X35" s="1350"/>
      <c r="Y35" s="3708"/>
      <c r="Z35" s="1351">
        <f t="shared" si="13"/>
        <v>111</v>
      </c>
      <c r="AA35" s="1348">
        <f t="shared" si="3"/>
        <v>1</v>
      </c>
      <c r="AB35" s="1348">
        <f t="shared" si="4"/>
        <v>1</v>
      </c>
      <c r="AC35" s="1348">
        <f t="shared" si="5"/>
        <v>1</v>
      </c>
    </row>
    <row r="36" spans="1:29" ht="15" hidden="1">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7"/>
      <c r="M36" s="2711"/>
      <c r="N36" s="2711"/>
      <c r="O36" s="2769"/>
      <c r="P36" s="3763" t="s">
        <v>1694</v>
      </c>
      <c r="Q36" s="1347">
        <f t="shared" si="8"/>
        <v>111</v>
      </c>
      <c r="R36" s="703" t="s">
        <v>14</v>
      </c>
      <c r="S36" s="704">
        <f t="shared" si="10"/>
        <v>100</v>
      </c>
      <c r="T36" s="703" t="s">
        <v>14</v>
      </c>
      <c r="U36" s="704">
        <f t="shared" si="11"/>
        <v>100</v>
      </c>
      <c r="V36" s="703" t="s">
        <v>14</v>
      </c>
      <c r="W36" s="704">
        <f t="shared" si="12"/>
        <v>100</v>
      </c>
      <c r="X36" s="1350"/>
      <c r="Y36" s="3712" t="s">
        <v>1694</v>
      </c>
      <c r="Z36" s="1351">
        <f t="shared" si="13"/>
        <v>111</v>
      </c>
      <c r="AA36" s="1348">
        <f t="shared" si="3"/>
        <v>1</v>
      </c>
      <c r="AB36" s="1348">
        <f t="shared" si="4"/>
        <v>1</v>
      </c>
      <c r="AC36" s="1348">
        <f t="shared" si="5"/>
        <v>1</v>
      </c>
    </row>
    <row r="37" spans="1:29" s="421" customFormat="1" ht="15.75" hidden="1"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6"/>
      <c r="M37" s="2718"/>
      <c r="N37" s="2718"/>
      <c r="O37" s="2770"/>
      <c r="P37" s="3712"/>
      <c r="Q37" s="1347">
        <f t="shared" si="8"/>
        <v>111</v>
      </c>
      <c r="R37" s="706" t="s">
        <v>14</v>
      </c>
      <c r="S37" s="707">
        <f t="shared" si="10"/>
        <v>100</v>
      </c>
      <c r="T37" s="706" t="s">
        <v>14</v>
      </c>
      <c r="U37" s="707">
        <f t="shared" si="11"/>
        <v>100</v>
      </c>
      <c r="V37" s="706" t="s">
        <v>14</v>
      </c>
      <c r="W37" s="707">
        <f t="shared" si="12"/>
        <v>100</v>
      </c>
      <c r="X37" s="708"/>
      <c r="Y37" s="3712"/>
      <c r="Z37" s="709">
        <f t="shared" si="13"/>
        <v>111</v>
      </c>
      <c r="AA37" s="1348">
        <f t="shared" si="3"/>
        <v>1</v>
      </c>
      <c r="AB37" s="1348">
        <f t="shared" si="4"/>
        <v>1</v>
      </c>
      <c r="AC37" s="1348">
        <f t="shared" si="5"/>
        <v>1</v>
      </c>
    </row>
    <row r="38" spans="1:29" ht="15">
      <c r="A38" s="422" t="s">
        <v>1692</v>
      </c>
      <c r="B38" s="406" t="s">
        <v>1871</v>
      </c>
      <c r="C38" s="626">
        <f>'数据-基础表'!A3</f>
        <v>6294.36</v>
      </c>
      <c r="D38" s="417">
        <v>100</v>
      </c>
      <c r="E38" s="626">
        <f>土地案例!E2</f>
        <v>64012.4</v>
      </c>
      <c r="F38" s="417">
        <f>LOOKUP(E38,116:116,117:117)-LOOKUP(C38,116:116,117:117)+100</f>
        <v>102</v>
      </c>
      <c r="G38" s="626">
        <f>土地案例!E3</f>
        <v>12136.3</v>
      </c>
      <c r="H38" s="417">
        <f>LOOKUP(G38,116:116,117:117)-LOOKUP(C38,116:116,117:117)+100</f>
        <v>100</v>
      </c>
      <c r="I38" s="478">
        <f>土地案例!E4</f>
        <v>28676.63</v>
      </c>
      <c r="J38" s="417">
        <f>LOOKUP(I38,116:116,117:117)-LOOKUP(C38,116:116,117:117)+100</f>
        <v>102</v>
      </c>
      <c r="K38" s="561"/>
      <c r="L38" s="2717"/>
      <c r="M38" s="2711"/>
      <c r="N38" s="2711"/>
      <c r="O38" s="2769"/>
      <c r="P38" s="3712"/>
      <c r="Q38" s="1347" t="str">
        <f>B38</f>
        <v>宗地面积</v>
      </c>
      <c r="R38" s="703" t="s">
        <v>14</v>
      </c>
      <c r="S38" s="704">
        <f t="shared" si="10"/>
        <v>102</v>
      </c>
      <c r="T38" s="703" t="s">
        <v>14</v>
      </c>
      <c r="U38" s="704">
        <f t="shared" si="11"/>
        <v>100</v>
      </c>
      <c r="V38" s="703" t="s">
        <v>14</v>
      </c>
      <c r="W38" s="704">
        <f t="shared" si="12"/>
        <v>102</v>
      </c>
      <c r="X38" s="1350"/>
      <c r="Y38" s="3712"/>
      <c r="Z38" s="1351" t="str">
        <f t="shared" si="13"/>
        <v>宗地面积</v>
      </c>
      <c r="AA38" s="1348">
        <f t="shared" si="3"/>
        <v>0.98039215686274506</v>
      </c>
      <c r="AB38" s="1348">
        <f t="shared" si="4"/>
        <v>1</v>
      </c>
      <c r="AC38" s="1348">
        <f t="shared" si="5"/>
        <v>0.98039215686274506</v>
      </c>
    </row>
    <row r="39" spans="1:29" ht="15">
      <c r="A39" s="422"/>
      <c r="B39" s="374" t="s">
        <v>1872</v>
      </c>
      <c r="C39" s="1901"/>
      <c r="D39" s="385">
        <v>100</v>
      </c>
      <c r="E39" s="1901"/>
      <c r="F39" s="385">
        <f>SUMIF(118:118,E39,119:119)-SUMIF(118:118,C39,119:119)+100</f>
        <v>100</v>
      </c>
      <c r="G39" s="1901"/>
      <c r="H39" s="385">
        <f>SUMIF(118:118,G39,119:119)-SUMIF(118:118,C39,119:119)+100</f>
        <v>100</v>
      </c>
      <c r="I39" s="1901"/>
      <c r="J39" s="385">
        <f>SUMIF(118:118,I39,119:119)-SUMIF(118:118,C39,119:119)+100</f>
        <v>100</v>
      </c>
      <c r="K39" s="560"/>
      <c r="L39" s="2717"/>
      <c r="M39" s="2711"/>
      <c r="N39" s="2711"/>
      <c r="O39" s="2769"/>
      <c r="P39" s="3712"/>
      <c r="Q39" s="1347" t="str">
        <f t="shared" ref="Q39:Q45" si="14">B39</f>
        <v>宗地形状</v>
      </c>
      <c r="R39" s="703" t="s">
        <v>14</v>
      </c>
      <c r="S39" s="704">
        <f t="shared" si="10"/>
        <v>100</v>
      </c>
      <c r="T39" s="703" t="s">
        <v>14</v>
      </c>
      <c r="U39" s="704">
        <f t="shared" si="11"/>
        <v>100</v>
      </c>
      <c r="V39" s="703" t="s">
        <v>14</v>
      </c>
      <c r="W39" s="704">
        <f t="shared" si="12"/>
        <v>100</v>
      </c>
      <c r="X39" s="1350"/>
      <c r="Y39" s="3712"/>
      <c r="Z39" s="1351" t="str">
        <f t="shared" si="13"/>
        <v>宗地形状</v>
      </c>
      <c r="AA39" s="1348">
        <f t="shared" si="3"/>
        <v>1</v>
      </c>
      <c r="AB39" s="1348">
        <f t="shared" si="4"/>
        <v>1</v>
      </c>
      <c r="AC39" s="1348">
        <f t="shared" si="5"/>
        <v>1</v>
      </c>
    </row>
    <row r="40" spans="1:29" ht="15">
      <c r="A40" s="422"/>
      <c r="B40" s="374" t="s">
        <v>1873</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60"/>
      <c r="L40" s="2717"/>
      <c r="M40" s="2711"/>
      <c r="N40" s="2711"/>
      <c r="O40" s="2769"/>
      <c r="P40" s="3712"/>
      <c r="Q40" s="1347" t="str">
        <f t="shared" si="14"/>
        <v>临街宽度及深度</v>
      </c>
      <c r="R40" s="703" t="s">
        <v>14</v>
      </c>
      <c r="S40" s="704">
        <f t="shared" si="10"/>
        <v>100</v>
      </c>
      <c r="T40" s="703" t="s">
        <v>14</v>
      </c>
      <c r="U40" s="704">
        <f t="shared" si="11"/>
        <v>100</v>
      </c>
      <c r="V40" s="703" t="s">
        <v>14</v>
      </c>
      <c r="W40" s="704">
        <f t="shared" si="12"/>
        <v>100</v>
      </c>
      <c r="X40" s="1350"/>
      <c r="Y40" s="3712"/>
      <c r="Z40" s="1351" t="str">
        <f t="shared" si="13"/>
        <v>临街宽度及深度</v>
      </c>
      <c r="AA40" s="1348">
        <f t="shared" si="3"/>
        <v>1</v>
      </c>
      <c r="AB40" s="1348">
        <f t="shared" si="4"/>
        <v>1</v>
      </c>
      <c r="AC40" s="1348">
        <f t="shared" si="5"/>
        <v>1</v>
      </c>
    </row>
    <row r="41" spans="1:29" s="108" customFormat="1" ht="15">
      <c r="A41" s="423"/>
      <c r="B41" s="374" t="s">
        <v>1874</v>
      </c>
      <c r="C41" s="1975" t="s">
        <v>3587</v>
      </c>
      <c r="D41" s="126">
        <v>100</v>
      </c>
      <c r="E41" s="1975" t="s">
        <v>3591</v>
      </c>
      <c r="F41" s="385">
        <f>SUMIF(122:122,E41,123:123)-SUMIF(122:122,C41,123:123)+100</f>
        <v>92</v>
      </c>
      <c r="G41" s="1975" t="s">
        <v>3588</v>
      </c>
      <c r="H41" s="385">
        <f>SUMIF(122:122,G41,123:123)-SUMIF(122:122,C41,123:123)+100</f>
        <v>98</v>
      </c>
      <c r="I41" s="1975" t="s">
        <v>3591</v>
      </c>
      <c r="J41" s="385">
        <f>SUMIF(122:122,I41,123:123)-SUMIF(122:122,C41,123:123)+100</f>
        <v>92</v>
      </c>
      <c r="K41" s="560">
        <v>2</v>
      </c>
      <c r="L41" s="2712"/>
      <c r="M41" s="2713"/>
      <c r="N41" s="2713"/>
      <c r="O41" s="2767"/>
      <c r="P41" s="3712"/>
      <c r="Q41" s="1347" t="str">
        <f t="shared" si="14"/>
        <v>宗地开发程度</v>
      </c>
      <c r="R41" s="699" t="s">
        <v>14</v>
      </c>
      <c r="S41" s="700">
        <f t="shared" si="10"/>
        <v>92</v>
      </c>
      <c r="T41" s="699" t="s">
        <v>14</v>
      </c>
      <c r="U41" s="700">
        <f t="shared" si="11"/>
        <v>98</v>
      </c>
      <c r="V41" s="699" t="s">
        <v>14</v>
      </c>
      <c r="W41" s="700">
        <f t="shared" si="12"/>
        <v>92</v>
      </c>
      <c r="X41" s="701"/>
      <c r="Y41" s="3712"/>
      <c r="Z41" s="52" t="str">
        <f t="shared" si="13"/>
        <v>宗地开发程度</v>
      </c>
      <c r="AA41" s="702">
        <f t="shared" si="3"/>
        <v>1.0869565217391304</v>
      </c>
      <c r="AB41" s="702">
        <f t="shared" si="4"/>
        <v>1.0204081632653061</v>
      </c>
      <c r="AC41" s="702">
        <f t="shared" si="5"/>
        <v>1.0869565217391304</v>
      </c>
    </row>
    <row r="42" spans="1:29" ht="15">
      <c r="A42" s="422"/>
      <c r="B42" s="374" t="s">
        <v>1875</v>
      </c>
      <c r="C42" s="1901"/>
      <c r="D42" s="385">
        <v>100</v>
      </c>
      <c r="E42" s="1901"/>
      <c r="F42" s="385">
        <f>SUMIF(124:124,E42,125:125)-SUMIF(124:124,C42,125:125)+100</f>
        <v>100</v>
      </c>
      <c r="G42" s="1901"/>
      <c r="H42" s="385">
        <f>SUMIF(124:124,G42,125:125)-SUMIF(124:124,C42,125:125)+100</f>
        <v>100</v>
      </c>
      <c r="I42" s="1901"/>
      <c r="J42" s="385">
        <f>SUMIF(124:124,I42,125:125)-SUMIF(124:124,C42,125:125)+100</f>
        <v>100</v>
      </c>
      <c r="K42" s="560"/>
      <c r="L42" s="2717"/>
      <c r="M42" s="2711"/>
      <c r="N42" s="2711"/>
      <c r="O42" s="2769"/>
      <c r="P42" s="3712" t="s">
        <v>1694</v>
      </c>
      <c r="Q42" s="1347" t="str">
        <f t="shared" si="14"/>
        <v>工程地质条件</v>
      </c>
      <c r="R42" s="703" t="s">
        <v>14</v>
      </c>
      <c r="S42" s="704">
        <f t="shared" si="10"/>
        <v>100</v>
      </c>
      <c r="T42" s="703" t="s">
        <v>14</v>
      </c>
      <c r="U42" s="704">
        <f t="shared" si="11"/>
        <v>100</v>
      </c>
      <c r="V42" s="703" t="s">
        <v>14</v>
      </c>
      <c r="W42" s="704">
        <f t="shared" si="12"/>
        <v>100</v>
      </c>
      <c r="X42" s="1350"/>
      <c r="Y42" s="3712" t="s">
        <v>1694</v>
      </c>
      <c r="Z42" s="1351" t="str">
        <f t="shared" si="13"/>
        <v>工程地质条件</v>
      </c>
      <c r="AA42" s="1348">
        <f t="shared" si="3"/>
        <v>1</v>
      </c>
      <c r="AB42" s="1348">
        <f t="shared" si="4"/>
        <v>1</v>
      </c>
      <c r="AC42" s="1348">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7"/>
      <c r="M43" s="2711"/>
      <c r="N43" s="2711"/>
      <c r="O43" s="2769"/>
      <c r="P43" s="3712"/>
      <c r="Q43" s="1347">
        <f t="shared" si="14"/>
        <v>111</v>
      </c>
      <c r="R43" s="703" t="s">
        <v>14</v>
      </c>
      <c r="S43" s="704">
        <f t="shared" si="10"/>
        <v>100</v>
      </c>
      <c r="T43" s="703" t="s">
        <v>14</v>
      </c>
      <c r="U43" s="704">
        <f t="shared" si="11"/>
        <v>100</v>
      </c>
      <c r="V43" s="703" t="s">
        <v>14</v>
      </c>
      <c r="W43" s="704">
        <f t="shared" si="12"/>
        <v>100</v>
      </c>
      <c r="X43" s="1350"/>
      <c r="Y43" s="3712"/>
      <c r="Z43" s="1351">
        <f t="shared" si="13"/>
        <v>111</v>
      </c>
      <c r="AA43" s="1348">
        <f t="shared" si="3"/>
        <v>1</v>
      </c>
      <c r="AB43" s="1348">
        <f t="shared" si="4"/>
        <v>1</v>
      </c>
      <c r="AC43" s="1348">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7"/>
      <c r="M44" s="2711"/>
      <c r="N44" s="2711"/>
      <c r="O44" s="2769"/>
      <c r="P44" s="3712"/>
      <c r="Q44" s="1347">
        <f t="shared" si="14"/>
        <v>111</v>
      </c>
      <c r="R44" s="703" t="s">
        <v>14</v>
      </c>
      <c r="S44" s="704">
        <f t="shared" si="10"/>
        <v>100</v>
      </c>
      <c r="T44" s="703" t="s">
        <v>14</v>
      </c>
      <c r="U44" s="704">
        <f t="shared" si="11"/>
        <v>100</v>
      </c>
      <c r="V44" s="703" t="s">
        <v>14</v>
      </c>
      <c r="W44" s="704">
        <f t="shared" si="12"/>
        <v>100</v>
      </c>
      <c r="X44" s="1350"/>
      <c r="Y44" s="3712"/>
      <c r="Z44" s="1351">
        <f t="shared" si="13"/>
        <v>111</v>
      </c>
      <c r="AA44" s="1348">
        <f t="shared" si="3"/>
        <v>1</v>
      </c>
      <c r="AB44" s="1348">
        <f t="shared" si="4"/>
        <v>1</v>
      </c>
      <c r="AC44" s="1348">
        <f t="shared" si="5"/>
        <v>1</v>
      </c>
    </row>
    <row r="45" spans="1:29" s="421" customFormat="1" ht="15.75" thickBot="1">
      <c r="A45" s="418"/>
      <c r="B45" s="1130">
        <v>111</v>
      </c>
      <c r="C45" s="1976"/>
      <c r="D45" s="627">
        <v>100</v>
      </c>
      <c r="E45" s="621"/>
      <c r="F45" s="388">
        <f>SUMIF(130:130,E45,131:131)-SUMIF(130:130,C45,131:131)+100</f>
        <v>100</v>
      </c>
      <c r="G45" s="621"/>
      <c r="H45" s="388">
        <f>SUMIF(130:130,G45,131:131)-SUMIF(130:130,C45,131:131)+100</f>
        <v>100</v>
      </c>
      <c r="I45" s="621"/>
      <c r="J45" s="388">
        <f>SUMIF(130:130,I45,131:131)-SUMIF(130:130,C45,131:131)+100</f>
        <v>100</v>
      </c>
      <c r="K45" s="628"/>
      <c r="L45" s="2716"/>
      <c r="M45" s="2718"/>
      <c r="N45" s="2718"/>
      <c r="O45" s="2770"/>
      <c r="P45" s="3712"/>
      <c r="Q45" s="1347">
        <f t="shared" si="14"/>
        <v>111</v>
      </c>
      <c r="R45" s="706" t="s">
        <v>14</v>
      </c>
      <c r="S45" s="707">
        <f t="shared" si="10"/>
        <v>100</v>
      </c>
      <c r="T45" s="706" t="s">
        <v>14</v>
      </c>
      <c r="U45" s="707">
        <f t="shared" si="11"/>
        <v>100</v>
      </c>
      <c r="V45" s="706" t="s">
        <v>14</v>
      </c>
      <c r="W45" s="707">
        <f t="shared" si="12"/>
        <v>100</v>
      </c>
      <c r="X45" s="708"/>
      <c r="Y45" s="3712"/>
      <c r="Z45" s="709">
        <f t="shared" si="13"/>
        <v>111</v>
      </c>
      <c r="AA45" s="1348">
        <f t="shared" si="3"/>
        <v>1</v>
      </c>
      <c r="AB45" s="1348">
        <f t="shared" si="4"/>
        <v>1</v>
      </c>
      <c r="AC45" s="1348">
        <f t="shared" si="5"/>
        <v>1</v>
      </c>
    </row>
    <row r="46" spans="1:29" ht="15">
      <c r="A46" s="429" t="s">
        <v>1842</v>
      </c>
      <c r="B46" s="1977" t="s">
        <v>1876</v>
      </c>
      <c r="C46" s="629" t="s">
        <v>0</v>
      </c>
      <c r="D46" s="431"/>
      <c r="E46" s="432">
        <f>土地案例!U2</f>
        <v>9217</v>
      </c>
      <c r="F46" s="433"/>
      <c r="G46" s="434">
        <f>土地案例!U3</f>
        <v>16715</v>
      </c>
      <c r="H46" s="435"/>
      <c r="I46" s="432">
        <f>土地案例!U4</f>
        <v>15300</v>
      </c>
      <c r="J46" s="435"/>
      <c r="K46" s="712"/>
      <c r="L46" s="2719"/>
      <c r="M46" s="2720"/>
      <c r="N46" s="2711"/>
      <c r="O46" s="2720"/>
      <c r="P46" s="3705" t="str">
        <f>A46</f>
        <v>成交单价</v>
      </c>
      <c r="Q46" s="3705"/>
      <c r="R46" s="3736">
        <f>E46</f>
        <v>9217</v>
      </c>
      <c r="S46" s="3736"/>
      <c r="T46" s="3736">
        <f>G46</f>
        <v>16715</v>
      </c>
      <c r="U46" s="3736"/>
      <c r="V46" s="3736">
        <f>I46</f>
        <v>15300</v>
      </c>
      <c r="W46" s="3736"/>
      <c r="X46" s="688"/>
      <c r="Y46" s="710"/>
      <c r="Z46" s="688"/>
      <c r="AA46" s="688"/>
      <c r="AB46" s="688"/>
      <c r="AC46" s="688"/>
    </row>
    <row r="47" spans="1:29" ht="15.75" thickBot="1">
      <c r="A47" s="436" t="s">
        <v>1791</v>
      </c>
      <c r="B47" s="630"/>
      <c r="C47" s="439">
        <f>R48</f>
        <v>9283</v>
      </c>
      <c r="D47" s="2312" t="s">
        <v>3614</v>
      </c>
      <c r="E47" s="439">
        <f>R47</f>
        <v>7665</v>
      </c>
      <c r="F47" s="2313">
        <v>0.5</v>
      </c>
      <c r="G47" s="438">
        <f>T47</f>
        <v>11092</v>
      </c>
      <c r="H47" s="2313">
        <v>0.25</v>
      </c>
      <c r="I47" s="439">
        <f>V47</f>
        <v>10708</v>
      </c>
      <c r="J47" s="2313">
        <v>0.25</v>
      </c>
      <c r="K47" s="2315">
        <f>F47+H47+J47</f>
        <v>1</v>
      </c>
      <c r="L47" s="2719"/>
      <c r="M47" s="2720"/>
      <c r="N47" s="2720"/>
      <c r="O47" s="2720"/>
      <c r="P47" s="3705" t="str">
        <f>A47</f>
        <v>比较价值（元/平方米）</v>
      </c>
      <c r="Q47" s="3705"/>
      <c r="R47" s="3765">
        <f>ROUND(PRODUCT(R46,AA7:AA45),0)</f>
        <v>7665</v>
      </c>
      <c r="S47" s="3765"/>
      <c r="T47" s="3765">
        <f>ROUND(PRODUCT(T46,AB7:AB45),0)</f>
        <v>11092</v>
      </c>
      <c r="U47" s="3765"/>
      <c r="V47" s="3765">
        <f>ROUND(PRODUCT(V46,AC7:AC45),0)</f>
        <v>10708</v>
      </c>
      <c r="W47" s="3765"/>
      <c r="X47" s="688"/>
      <c r="Y47" s="688"/>
      <c r="Z47" s="688"/>
      <c r="AA47" s="688"/>
      <c r="AB47" s="688"/>
      <c r="AC47" s="688"/>
    </row>
    <row r="48" spans="1:29" ht="15.75" thickBot="1">
      <c r="A48" s="440" t="s">
        <v>1877</v>
      </c>
      <c r="B48" s="441"/>
      <c r="C48" s="442">
        <f>R48</f>
        <v>9283</v>
      </c>
      <c r="D48" s="442"/>
      <c r="E48" s="442"/>
      <c r="F48" s="442"/>
      <c r="G48" s="442"/>
      <c r="H48" s="442"/>
      <c r="I48" s="442"/>
      <c r="J48" s="442"/>
      <c r="K48" s="713"/>
      <c r="L48" s="2719"/>
      <c r="M48" s="2720"/>
      <c r="N48" s="2720"/>
      <c r="O48" s="2720"/>
      <c r="P48" s="3702" t="str">
        <f>A48</f>
        <v>估价对象XX用房的比较价值（楼面单价，元/平方米）</v>
      </c>
      <c r="Q48" s="3703"/>
      <c r="R48" s="3766">
        <f>ROUND(IF(D47="简单平均",AVERAGE(R47:W47),R47*F47+T47*H47+V47*J47),0)</f>
        <v>9283</v>
      </c>
      <c r="S48" s="3766"/>
      <c r="T48" s="3766"/>
      <c r="U48" s="3766"/>
      <c r="V48" s="3766"/>
      <c r="W48" s="3766"/>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5" t="s">
        <v>1793</v>
      </c>
      <c r="D51" s="446"/>
      <c r="E51" s="447">
        <f>IF(E46&lt;E47,E47/E46-1,E46/E47-1)</f>
        <v>0.20247879973907379</v>
      </c>
      <c r="F51" s="448" t="str">
        <f>IF(OR(E51&gt;=0.3,E51&lt;=-0.3),"超过30%","")</f>
        <v/>
      </c>
      <c r="G51" s="447">
        <f>IF(G46&lt;G47,G47/G46-1,G46/G47-1)</f>
        <v>0.50694194013703564</v>
      </c>
      <c r="H51" s="448" t="str">
        <f>IF(OR(G51&gt;=0.3,G51&lt;=-0.3),"超过30%","")</f>
        <v>超过30%</v>
      </c>
      <c r="I51" s="447">
        <f>IF(I46&lt;I47,I47/I46-1,I46/I47-1)</f>
        <v>0.42883825177437429</v>
      </c>
      <c r="J51" s="448" t="str">
        <f>IF(OR(I51&gt;=0.3,I51&lt;=-0.3),"超过30%","")</f>
        <v>超过30%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5" t="s">
        <v>1794</v>
      </c>
      <c r="D52" s="449"/>
      <c r="E52" s="447">
        <f>IF(E47&lt;G47,G47/E47-1,E47/G47-1)</f>
        <v>0.44709719504240053</v>
      </c>
      <c r="F52" s="448" t="str">
        <f>IF(OR(E52&gt;=0.2,E52&lt;=-0.2),"超过20%","")</f>
        <v>超过20%</v>
      </c>
      <c r="G52" s="447">
        <f>IF(G47&lt;I47,I47/G47-1,G47/I47-1)</f>
        <v>3.5861038475905938E-2</v>
      </c>
      <c r="H52" s="448" t="str">
        <f>IF(OR(G52&gt;=0.2,G52&lt;=-0.2),"超过20%","")</f>
        <v/>
      </c>
      <c r="I52" s="447">
        <f>IF(I47&lt;E47,E47/I47-1,I47/E47-1)</f>
        <v>0.39699934768427925</v>
      </c>
      <c r="J52" s="448" t="str">
        <f>IF(OR(I52&gt;=0.2,I52&lt;=-0.2),"超过20%","")</f>
        <v>超过20%</v>
      </c>
      <c r="K52" s="2725"/>
      <c r="L52" s="2721"/>
      <c r="M52" s="2720"/>
      <c r="N52" s="2720"/>
      <c r="O52" s="2720"/>
      <c r="P52" s="2720"/>
      <c r="Q52" s="2720"/>
      <c r="R52" s="2720"/>
      <c r="S52" s="2720"/>
      <c r="T52" s="2720"/>
      <c r="U52" s="2720"/>
      <c r="V52" s="2720"/>
      <c r="W52" s="2720"/>
      <c r="X52" s="2720"/>
      <c r="Y52" s="2720"/>
      <c r="Z52" s="2720"/>
      <c r="AA52" s="2720"/>
      <c r="AB52" s="2720"/>
      <c r="AC52" s="2720"/>
    </row>
    <row r="53" spans="1:29" s="450" customFormat="1" ht="13.5" customHeight="1">
      <c r="A53" s="2723"/>
      <c r="B53" s="2723"/>
      <c r="C53" s="445" t="s">
        <v>1795</v>
      </c>
      <c r="D53" s="449"/>
      <c r="E53" s="447">
        <f>IF(E46&lt;G46,G46/E46-1,E46/G46-1)</f>
        <v>0.81349679939242714</v>
      </c>
      <c r="F53" s="448" t="str">
        <f>IF(OR(E53&gt;=0.3,E53&lt;=-0.3),"超过30%","")</f>
        <v>超过30%</v>
      </c>
      <c r="G53" s="447">
        <f>IF(G46&lt;I46,I46/G46-1,G46/I46-1)</f>
        <v>9.2483660130718848E-2</v>
      </c>
      <c r="H53" s="448" t="str">
        <f>IF(OR(G53&gt;=0.3,G53&lt;=-0.3),"超过30%","")</f>
        <v/>
      </c>
      <c r="I53" s="447">
        <f>IF(I46&lt;E46,E46/I46-1,I46/E46-1)</f>
        <v>0.65997613106216768</v>
      </c>
      <c r="J53" s="448" t="str">
        <f>IF(OR(I53&gt;=0.3,I53&lt;=-0.3),"超过30%","")</f>
        <v>超过30%</v>
      </c>
      <c r="K53" s="2728"/>
      <c r="L53" s="2722"/>
      <c r="M53" s="2723"/>
      <c r="N53" s="2723"/>
      <c r="O53" s="2723"/>
      <c r="P53" s="2723"/>
      <c r="Q53" s="2723"/>
      <c r="R53" s="2723"/>
      <c r="S53" s="2723"/>
      <c r="T53" s="2723"/>
      <c r="U53" s="2723"/>
      <c r="V53" s="2723"/>
      <c r="W53" s="2723"/>
      <c r="X53" s="2723"/>
      <c r="Y53" s="2723"/>
      <c r="Z53" s="2723"/>
      <c r="AA53" s="2723"/>
      <c r="AB53" s="2723"/>
      <c r="AC53" s="2723"/>
    </row>
    <row r="54" spans="1:29" s="450"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1878</v>
      </c>
      <c r="B55" s="632" t="s">
        <v>1879</v>
      </c>
      <c r="C55" s="1978" t="s">
        <v>3619</v>
      </c>
      <c r="D55" s="1979" t="s">
        <v>1881</v>
      </c>
      <c r="E55" s="633" t="s">
        <v>1882</v>
      </c>
      <c r="F55" s="888" t="s">
        <v>1883</v>
      </c>
      <c r="G55" s="3720" t="s">
        <v>1884</v>
      </c>
      <c r="H55" s="3767"/>
      <c r="I55" s="134" t="s">
        <v>1885</v>
      </c>
      <c r="J55" s="1980">
        <f>项目基本情况!F35</f>
        <v>0</v>
      </c>
      <c r="K55" s="1981" t="s">
        <v>1886</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1887</v>
      </c>
      <c r="B56" s="636">
        <f>C48</f>
        <v>9283</v>
      </c>
      <c r="C56" s="637">
        <v>1</v>
      </c>
      <c r="D56" s="940">
        <v>1</v>
      </c>
      <c r="E56" s="637">
        <f>'数据-汇总表'!E8+'数据-汇总表'!E9</f>
        <v>32206.960000000006</v>
      </c>
      <c r="F56" s="884">
        <f t="shared" ref="F56:F64" si="15">ROUND(B56*E56/10000,0)</f>
        <v>29898</v>
      </c>
      <c r="G56" s="3716"/>
      <c r="H56" s="3705"/>
      <c r="I56" s="889">
        <v>1</v>
      </c>
      <c r="J56" s="892">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1888</v>
      </c>
      <c r="B57" s="217">
        <f>ROUND($C$48*C57*D57,0)</f>
        <v>1392</v>
      </c>
      <c r="C57" s="170">
        <f t="shared" ref="C57:C64" si="16">IF($C$55="北京市系数",I57,J57)</f>
        <v>0.6</v>
      </c>
      <c r="D57" s="941">
        <v>0.25</v>
      </c>
      <c r="E57" s="641"/>
      <c r="F57" s="884">
        <f t="shared" si="15"/>
        <v>0</v>
      </c>
      <c r="G57" s="3001" t="s">
        <v>1889</v>
      </c>
      <c r="H57" s="885">
        <f>项目基本情况!B37</f>
        <v>0</v>
      </c>
      <c r="I57" s="889">
        <f>SUMIF(修正!A57:A68,H57,修正!B57:B68)</f>
        <v>0</v>
      </c>
      <c r="J57" s="3484">
        <v>0.6</v>
      </c>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1890</v>
      </c>
      <c r="B58" s="217">
        <f t="shared" ref="B58:B64" si="17">ROUND($C$48*C58*D58,0)</f>
        <v>696</v>
      </c>
      <c r="C58" s="170">
        <f t="shared" si="16"/>
        <v>0.3</v>
      </c>
      <c r="D58" s="941">
        <v>0.25</v>
      </c>
      <c r="E58" s="641"/>
      <c r="F58" s="884">
        <f t="shared" si="15"/>
        <v>0</v>
      </c>
      <c r="G58" s="3002"/>
      <c r="H58" s="885">
        <f>项目基本情况!B37</f>
        <v>0</v>
      </c>
      <c r="I58" s="889">
        <f>SUMIF(修正!A57:A68,H58,修正!C57:C68)</f>
        <v>0</v>
      </c>
      <c r="J58" s="3484">
        <v>0.3</v>
      </c>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1891</v>
      </c>
      <c r="B59" s="217">
        <f t="shared" si="17"/>
        <v>580</v>
      </c>
      <c r="C59" s="170">
        <f t="shared" si="16"/>
        <v>0.25</v>
      </c>
      <c r="D59" s="941">
        <v>0.25</v>
      </c>
      <c r="E59" s="641"/>
      <c r="F59" s="884">
        <f t="shared" si="15"/>
        <v>0</v>
      </c>
      <c r="G59" s="3002"/>
      <c r="H59" s="885">
        <f>项目基本情况!B37</f>
        <v>0</v>
      </c>
      <c r="I59" s="889">
        <f>SUMIF(修正!A57:A68,H59,修正!D57:D68)</f>
        <v>0</v>
      </c>
      <c r="J59" s="3484">
        <v>0.25</v>
      </c>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1892</v>
      </c>
      <c r="B60" s="217">
        <f t="shared" si="17"/>
        <v>580</v>
      </c>
      <c r="C60" s="170">
        <f t="shared" si="16"/>
        <v>0.25</v>
      </c>
      <c r="D60" s="941">
        <v>0.25</v>
      </c>
      <c r="E60" s="216">
        <f>'数据-汇总表'!E11</f>
        <v>0</v>
      </c>
      <c r="F60" s="884">
        <f t="shared" si="15"/>
        <v>0</v>
      </c>
      <c r="G60" s="1982" t="s">
        <v>1893</v>
      </c>
      <c r="H60" s="885">
        <f>项目基本情况!C37</f>
        <v>0</v>
      </c>
      <c r="I60" s="889">
        <f>SUMIF(修正!A57:A68,H60,修正!E57:E68)</f>
        <v>0</v>
      </c>
      <c r="J60" s="3484">
        <v>0.25</v>
      </c>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1894</v>
      </c>
      <c r="B61" s="217">
        <f t="shared" si="17"/>
        <v>580</v>
      </c>
      <c r="C61" s="170">
        <f t="shared" si="16"/>
        <v>0.25</v>
      </c>
      <c r="D61" s="941">
        <v>0.25</v>
      </c>
      <c r="E61" s="216">
        <f>'数据-汇总表'!E12</f>
        <v>0</v>
      </c>
      <c r="F61" s="884">
        <f t="shared" si="15"/>
        <v>0</v>
      </c>
      <c r="G61" s="890" t="s">
        <v>1895</v>
      </c>
      <c r="H61" s="885">
        <f>IF(G61="商业",项目基本情况!B37,IF(G61="办公",项目基本情况!C37,IF(G61="住宅",项目基本情况!D37,项目基本情况!E37)))</f>
        <v>0</v>
      </c>
      <c r="I61" s="889">
        <f>SUMIF(修正!A57:A68,H61,修正!F57:F68)</f>
        <v>0</v>
      </c>
      <c r="J61" s="3484">
        <v>0.25</v>
      </c>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1896</v>
      </c>
      <c r="B62" s="217">
        <f t="shared" si="17"/>
        <v>348</v>
      </c>
      <c r="C62" s="170">
        <f t="shared" si="16"/>
        <v>0.15</v>
      </c>
      <c r="D62" s="941">
        <v>0.25</v>
      </c>
      <c r="E62" s="216">
        <f>'数据-汇总表'!E13</f>
        <v>0</v>
      </c>
      <c r="F62" s="884">
        <f t="shared" si="15"/>
        <v>0</v>
      </c>
      <c r="G62" s="890" t="s">
        <v>1897</v>
      </c>
      <c r="H62" s="885">
        <f>IF(G62="商业",项目基本情况!B37,IF(G62="办公",项目基本情况!C37,IF(G62="住宅",项目基本情况!D37,项目基本情况!E37)))</f>
        <v>0</v>
      </c>
      <c r="I62" s="889">
        <f>SUMIF(修正!A57:A68,H62,修正!G57:G68)</f>
        <v>0</v>
      </c>
      <c r="J62" s="3484">
        <v>0.15</v>
      </c>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1898</v>
      </c>
      <c r="B63" s="217">
        <f t="shared" si="17"/>
        <v>348</v>
      </c>
      <c r="C63" s="170">
        <f t="shared" si="16"/>
        <v>0.15</v>
      </c>
      <c r="D63" s="941">
        <v>0.25</v>
      </c>
      <c r="E63" s="216">
        <f>'数据-汇总表'!E14</f>
        <v>0</v>
      </c>
      <c r="F63" s="884">
        <f t="shared" si="15"/>
        <v>0</v>
      </c>
      <c r="G63" s="1982" t="s">
        <v>1889</v>
      </c>
      <c r="H63" s="885">
        <f>项目基本情况!B37</f>
        <v>0</v>
      </c>
      <c r="I63" s="889">
        <f>SUMIF(修正!A57:A68,H63,修正!G57:G68)</f>
        <v>0</v>
      </c>
      <c r="J63" s="3484">
        <v>0.15</v>
      </c>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1899</v>
      </c>
      <c r="B64" s="217">
        <f t="shared" si="17"/>
        <v>348</v>
      </c>
      <c r="C64" s="3485">
        <f t="shared" si="16"/>
        <v>0.15</v>
      </c>
      <c r="D64" s="941">
        <v>0.25</v>
      </c>
      <c r="E64" s="3486">
        <f>'数据-汇总表'!E15</f>
        <v>7219.03</v>
      </c>
      <c r="F64" s="3487">
        <f t="shared" si="15"/>
        <v>251</v>
      </c>
      <c r="G64" s="1983" t="s">
        <v>1893</v>
      </c>
      <c r="H64" s="893">
        <f>项目基本情况!C37</f>
        <v>0</v>
      </c>
      <c r="I64" s="891">
        <f>SUMIF(修正!A57:A68,H64,修正!G57:G68)</f>
        <v>0</v>
      </c>
      <c r="J64" s="3484">
        <v>0.15</v>
      </c>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1900</v>
      </c>
      <c r="B65" s="643" t="s">
        <v>22</v>
      </c>
      <c r="C65" s="643" t="s">
        <v>23</v>
      </c>
      <c r="D65" s="643" t="s">
        <v>392</v>
      </c>
      <c r="E65" s="643">
        <f>IF(B46="楼面地价",SUM(E56:E64),'数据-汇总表'!D3)</f>
        <v>39425.990000000005</v>
      </c>
      <c r="F65" s="644">
        <f>IF(B46="楼面地价",SUM(F56:F64),ROUND(C48*E65/10000,0))</f>
        <v>30149</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3"/>
      <c r="K66" s="886"/>
      <c r="L66" s="887"/>
      <c r="M66" s="923"/>
      <c r="N66" s="923"/>
      <c r="O66" s="923"/>
      <c r="P66" s="2720"/>
      <c r="Q66" s="2720"/>
      <c r="R66" s="2720"/>
      <c r="S66" s="2720"/>
      <c r="T66" s="2720"/>
      <c r="U66" s="2720"/>
      <c r="V66" s="2720"/>
      <c r="W66" s="2720"/>
      <c r="X66" s="2720"/>
      <c r="Y66" s="2720"/>
      <c r="Z66" s="2720"/>
      <c r="AA66" s="2720"/>
      <c r="AB66" s="2720"/>
      <c r="AC66" s="2720"/>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6">
        <v>44105</v>
      </c>
      <c r="Q67" s="2726">
        <v>44013</v>
      </c>
      <c r="R67" s="925">
        <v>43922</v>
      </c>
      <c r="S67" s="2726">
        <v>43831</v>
      </c>
      <c r="T67" s="2720"/>
      <c r="U67" s="2720"/>
      <c r="V67" s="2720"/>
      <c r="W67" s="2720"/>
      <c r="X67" s="2720"/>
      <c r="Y67" s="2720"/>
      <c r="Z67" s="2720"/>
      <c r="AA67" s="2720"/>
      <c r="AB67" s="2720"/>
      <c r="AC67" s="2720"/>
    </row>
    <row r="68" spans="1:29" ht="21.75" thickBot="1">
      <c r="A68" s="692" t="s">
        <v>1796</v>
      </c>
      <c r="B68" s="688"/>
      <c r="C68" s="693"/>
      <c r="D68" s="693"/>
      <c r="E68" s="693"/>
      <c r="F68" s="694"/>
      <c r="G68" s="694"/>
      <c r="H68" s="693"/>
      <c r="I68" s="693"/>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6" customFormat="1" ht="28.5">
      <c r="A69" s="1984" t="s">
        <v>1901</v>
      </c>
      <c r="B69" s="1105"/>
      <c r="C69" s="1177" t="str">
        <f>YEAR(C67)&amp;"-"&amp;ROUNDUP(MONTH(C67)/3,0)</f>
        <v>2024-1</v>
      </c>
      <c r="D69" s="1177" t="str">
        <f>YEAR(D67)&amp;"-"&amp;ROUNDUP(MONTH(D67)/3,0)</f>
        <v>2023-4</v>
      </c>
      <c r="E69" s="1177" t="str">
        <f t="shared" ref="E69:S69" si="19">YEAR(E67)&amp;"-"&amp;ROUNDUP(MONTH(E67)/3,0)</f>
        <v>2023-3</v>
      </c>
      <c r="F69" s="1177" t="str">
        <f t="shared" si="19"/>
        <v>2023-2</v>
      </c>
      <c r="G69" s="1177" t="str">
        <f t="shared" si="19"/>
        <v>2023-1</v>
      </c>
      <c r="H69" s="1177" t="str">
        <f t="shared" si="19"/>
        <v>2022-4</v>
      </c>
      <c r="I69" s="1177" t="str">
        <f t="shared" si="19"/>
        <v>2022-3</v>
      </c>
      <c r="J69" s="1177" t="str">
        <f t="shared" si="19"/>
        <v>2022-2</v>
      </c>
      <c r="K69" s="1177" t="str">
        <f t="shared" si="19"/>
        <v>2022-1</v>
      </c>
      <c r="L69" s="1177" t="str">
        <f t="shared" si="19"/>
        <v>2021-4</v>
      </c>
      <c r="M69" s="1177" t="str">
        <f t="shared" si="19"/>
        <v>2021-3</v>
      </c>
      <c r="N69" s="1177" t="str">
        <f t="shared" si="19"/>
        <v>2021-2</v>
      </c>
      <c r="O69" s="1177" t="str">
        <f t="shared" si="19"/>
        <v>2021-1</v>
      </c>
      <c r="P69" s="3458" t="str">
        <f>YEAR(P67)&amp;"-"&amp;ROUNDUP(MONTH(P67)/3,0)</f>
        <v>2020-4</v>
      </c>
      <c r="Q69" s="3458" t="str">
        <f t="shared" si="19"/>
        <v>2020-3</v>
      </c>
      <c r="R69" s="3458" t="str">
        <f t="shared" si="19"/>
        <v>2020-2</v>
      </c>
      <c r="S69" s="3458" t="str">
        <f t="shared" si="19"/>
        <v>2020-1</v>
      </c>
      <c r="T69" s="3458"/>
      <c r="U69" s="2736"/>
      <c r="V69" s="2736"/>
      <c r="W69" s="2736"/>
      <c r="X69" s="2736"/>
      <c r="Y69" s="2736"/>
      <c r="Z69" s="2736"/>
      <c r="AA69" s="2736"/>
      <c r="AB69" s="2736"/>
      <c r="AC69" s="2736"/>
    </row>
    <row r="70" spans="1:29" s="108" customFormat="1" ht="30" customHeight="1">
      <c r="A70" s="1985" t="s">
        <v>1902</v>
      </c>
      <c r="B70" s="287" t="str">
        <f>"北京市平均增长率"&amp;TEXT(SUMIF(基准地价修正!N25:N29,A70,基准地价修正!P25:P29),"0.00%")</f>
        <v>北京市平均增长率0.00%</v>
      </c>
      <c r="C70" s="551">
        <v>100</v>
      </c>
      <c r="D70" s="543">
        <v>100</v>
      </c>
      <c r="E70" s="543">
        <v>100</v>
      </c>
      <c r="F70" s="543">
        <v>100</v>
      </c>
      <c r="G70" s="543">
        <v>100</v>
      </c>
      <c r="H70" s="543">
        <v>100</v>
      </c>
      <c r="I70" s="543">
        <v>100</v>
      </c>
      <c r="J70" s="543">
        <v>100</v>
      </c>
      <c r="K70" s="543">
        <v>100</v>
      </c>
      <c r="L70" s="543">
        <v>100</v>
      </c>
      <c r="M70" s="543">
        <v>100</v>
      </c>
      <c r="N70" s="543">
        <v>100</v>
      </c>
      <c r="O70" s="543">
        <v>100</v>
      </c>
      <c r="P70" s="543">
        <v>100</v>
      </c>
      <c r="Q70" s="543">
        <v>100</v>
      </c>
      <c r="R70" s="543">
        <v>100</v>
      </c>
      <c r="S70" s="543">
        <v>100</v>
      </c>
      <c r="T70" s="543"/>
      <c r="U70" s="2656"/>
      <c r="V70" s="2656"/>
      <c r="W70" s="2656"/>
      <c r="X70" s="2656"/>
      <c r="Y70" s="2656"/>
      <c r="Z70" s="2656"/>
      <c r="AA70" s="2656"/>
      <c r="AB70" s="2656"/>
      <c r="AC70" s="2656"/>
    </row>
    <row r="71" spans="1:29" s="108" customFormat="1" ht="15.75" thickBot="1">
      <c r="A71" s="463" t="s">
        <v>1714</v>
      </c>
      <c r="B71" s="464"/>
      <c r="C71" s="465"/>
      <c r="D71" s="466"/>
      <c r="E71" s="466"/>
      <c r="F71" s="466"/>
      <c r="G71" s="466"/>
      <c r="H71" s="466"/>
      <c r="I71" s="466"/>
      <c r="J71" s="466"/>
      <c r="K71" s="466"/>
      <c r="L71" s="466"/>
      <c r="M71" s="467"/>
      <c r="N71" s="466"/>
      <c r="O71" s="939"/>
      <c r="P71" s="2734"/>
      <c r="Q71" s="2734"/>
      <c r="R71" s="2656"/>
      <c r="S71" s="2656"/>
      <c r="T71" s="2656"/>
      <c r="U71" s="2656"/>
      <c r="V71" s="2656"/>
      <c r="W71" s="2656"/>
      <c r="X71" s="2656"/>
      <c r="Y71" s="2656"/>
      <c r="Z71" s="2656"/>
      <c r="AA71" s="2656"/>
      <c r="AB71" s="2656"/>
      <c r="AC71" s="2656"/>
    </row>
    <row r="72" spans="1:29" s="108" customFormat="1" ht="15">
      <c r="A72" s="469" t="s">
        <v>1679</v>
      </c>
      <c r="B72" s="458"/>
      <c r="C72" s="470" t="s">
        <v>1774</v>
      </c>
      <c r="D72" s="471"/>
      <c r="E72" s="471"/>
      <c r="F72" s="471"/>
      <c r="G72" s="471"/>
      <c r="H72" s="471"/>
      <c r="I72" s="471"/>
      <c r="J72" s="471"/>
      <c r="K72" s="471"/>
      <c r="L72" s="472"/>
      <c r="M72" s="473"/>
      <c r="N72" s="2747"/>
      <c r="O72" s="2747"/>
      <c r="P72" s="2772"/>
      <c r="Q72" s="2734"/>
      <c r="R72" s="2656"/>
      <c r="S72" s="2656"/>
      <c r="T72" s="2656"/>
      <c r="U72" s="2656"/>
      <c r="V72" s="2656"/>
      <c r="W72" s="2656"/>
      <c r="X72" s="2656"/>
      <c r="Y72" s="2656"/>
      <c r="Z72" s="2656"/>
      <c r="AA72" s="2656"/>
      <c r="AB72" s="2656"/>
      <c r="AC72" s="2656"/>
    </row>
    <row r="73" spans="1:29" s="108" customFormat="1" ht="15.75" thickBot="1">
      <c r="A73" s="469"/>
      <c r="B73" s="458"/>
      <c r="C73" s="586">
        <v>100</v>
      </c>
      <c r="D73" s="460"/>
      <c r="E73" s="460"/>
      <c r="F73" s="460"/>
      <c r="G73" s="460"/>
      <c r="H73" s="460"/>
      <c r="I73" s="460"/>
      <c r="J73" s="460"/>
      <c r="K73" s="460"/>
      <c r="L73" s="460"/>
      <c r="M73" s="462"/>
      <c r="N73" s="2747"/>
      <c r="O73" s="2747"/>
      <c r="P73" s="2734"/>
      <c r="Q73" s="2734"/>
      <c r="R73" s="2656"/>
      <c r="S73" s="2656"/>
      <c r="T73" s="2656"/>
      <c r="U73" s="2656"/>
      <c r="V73" s="2656"/>
      <c r="W73" s="2656"/>
      <c r="X73" s="2656"/>
      <c r="Y73" s="2656"/>
      <c r="Z73" s="2656"/>
      <c r="AA73" s="2656"/>
      <c r="AB73" s="2656"/>
      <c r="AC73" s="2656"/>
    </row>
    <row r="74" spans="1:29">
      <c r="A74" s="475" t="s">
        <v>1717</v>
      </c>
      <c r="B74" s="476" t="s">
        <v>1683</v>
      </c>
      <c r="C74" s="3456" t="s">
        <v>3622</v>
      </c>
      <c r="D74" s="3456" t="s">
        <v>3583</v>
      </c>
      <c r="E74" s="3456" t="s">
        <v>3610</v>
      </c>
      <c r="F74" s="478"/>
      <c r="G74" s="478"/>
      <c r="H74" s="478"/>
      <c r="I74" s="478"/>
      <c r="J74" s="478"/>
      <c r="K74" s="479"/>
      <c r="L74" s="480"/>
      <c r="M74" s="481"/>
      <c r="N74" s="2748"/>
      <c r="O74" s="2748"/>
      <c r="P74" s="2773"/>
      <c r="Q74" s="2734"/>
      <c r="R74" s="2720"/>
      <c r="S74" s="2720"/>
      <c r="T74" s="2720"/>
      <c r="U74" s="2720"/>
      <c r="V74" s="2720"/>
      <c r="W74" s="2720"/>
      <c r="X74" s="2720"/>
      <c r="Y74" s="2720"/>
      <c r="Z74" s="2720"/>
      <c r="AA74" s="2720"/>
      <c r="AB74" s="2720"/>
      <c r="AC74" s="2720"/>
    </row>
    <row r="75" spans="1:29" ht="15.75" thickBot="1">
      <c r="A75" s="482"/>
      <c r="B75" s="483"/>
      <c r="C75" s="484">
        <v>100</v>
      </c>
      <c r="D75" s="484">
        <v>120</v>
      </c>
      <c r="E75" s="484">
        <v>100</v>
      </c>
      <c r="F75" s="484"/>
      <c r="G75" s="484"/>
      <c r="H75" s="484"/>
      <c r="I75" s="484"/>
      <c r="J75" s="484"/>
      <c r="K75" s="484"/>
      <c r="L75" s="484"/>
      <c r="M75" s="485"/>
      <c r="N75" s="2749"/>
      <c r="O75" s="2749"/>
      <c r="P75" s="2773"/>
      <c r="Q75" s="2734"/>
      <c r="R75" s="2720"/>
      <c r="S75" s="2720"/>
      <c r="T75" s="2720"/>
      <c r="U75" s="2720"/>
      <c r="V75" s="2720"/>
      <c r="W75" s="2720"/>
      <c r="X75" s="2720"/>
      <c r="Y75" s="2720"/>
      <c r="Z75" s="2720"/>
      <c r="AA75" s="2720"/>
      <c r="AB75" s="2720"/>
      <c r="AC75" s="2720"/>
    </row>
    <row r="76" spans="1:29" ht="27.75" thickTop="1">
      <c r="A76" s="482"/>
      <c r="B76" s="486" t="s">
        <v>1686</v>
      </c>
      <c r="C76" s="487"/>
      <c r="D76" s="487"/>
      <c r="E76" s="487"/>
      <c r="F76" s="487"/>
      <c r="G76" s="487"/>
      <c r="H76" s="487"/>
      <c r="I76" s="487"/>
      <c r="J76" s="487"/>
      <c r="K76" s="488"/>
      <c r="L76" s="489"/>
      <c r="M76" s="490"/>
      <c r="N76" s="2748"/>
      <c r="O76" s="2748"/>
      <c r="P76" s="2773"/>
      <c r="Q76" s="2734"/>
      <c r="R76" s="2720"/>
      <c r="S76" s="2720"/>
      <c r="T76" s="2720"/>
      <c r="U76" s="2720"/>
      <c r="V76" s="2720"/>
      <c r="W76" s="2720"/>
      <c r="X76" s="2720"/>
      <c r="Y76" s="2720"/>
      <c r="Z76" s="2720"/>
      <c r="AA76" s="2720"/>
      <c r="AB76" s="2720"/>
      <c r="AC76" s="2720"/>
    </row>
    <row r="77" spans="1:29" ht="15.75" thickBot="1">
      <c r="A77" s="482"/>
      <c r="B77" s="491"/>
      <c r="C77" s="492"/>
      <c r="D77" s="492"/>
      <c r="E77" s="492"/>
      <c r="F77" s="492"/>
      <c r="G77" s="492"/>
      <c r="H77" s="492"/>
      <c r="I77" s="492"/>
      <c r="J77" s="492"/>
      <c r="K77" s="492"/>
      <c r="L77" s="492"/>
      <c r="M77" s="493"/>
      <c r="N77" s="2749"/>
      <c r="O77" s="2749"/>
      <c r="P77" s="2773"/>
      <c r="Q77" s="2734"/>
      <c r="R77" s="2720"/>
      <c r="S77" s="2720"/>
      <c r="T77" s="2720"/>
      <c r="U77" s="2720"/>
      <c r="V77" s="2720"/>
      <c r="W77" s="2720"/>
      <c r="X77" s="2720"/>
      <c r="Y77" s="2720"/>
      <c r="Z77" s="2720"/>
      <c r="AA77" s="2720"/>
      <c r="AB77" s="2720"/>
      <c r="AC77" s="2720"/>
    </row>
    <row r="78" spans="1:29" ht="15.75" thickTop="1">
      <c r="A78" s="482"/>
      <c r="B78" s="494" t="s">
        <v>1687</v>
      </c>
      <c r="C78" s="495" t="str">
        <f>C79&amp;"（含）"&amp;"-"&amp;D79</f>
        <v>0（含）-1</v>
      </c>
      <c r="D78" s="495" t="str">
        <f t="shared" ref="D78:L78" si="20">D79&amp;"（含）"&amp;"-"&amp;E79</f>
        <v>1（含）-2</v>
      </c>
      <c r="E78" s="495" t="str">
        <f t="shared" si="20"/>
        <v>2（含）-3</v>
      </c>
      <c r="F78" s="495" t="str">
        <f t="shared" si="20"/>
        <v>3（含）-4</v>
      </c>
      <c r="G78" s="495" t="str">
        <f t="shared" si="20"/>
        <v>4（含）-5</v>
      </c>
      <c r="H78" s="495" t="str">
        <f t="shared" si="20"/>
        <v>5（含）-6</v>
      </c>
      <c r="I78" s="495" t="str">
        <f t="shared" si="20"/>
        <v>6（含）-7</v>
      </c>
      <c r="J78" s="495" t="str">
        <f t="shared" si="20"/>
        <v>7（含）-8</v>
      </c>
      <c r="K78" s="495" t="str">
        <f t="shared" si="20"/>
        <v>8（含）-</v>
      </c>
      <c r="L78" s="495" t="str">
        <f t="shared" si="20"/>
        <v>（含）-</v>
      </c>
      <c r="M78" s="398"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2"/>
      <c r="B79" s="496"/>
      <c r="C79" s="497">
        <v>0</v>
      </c>
      <c r="D79" s="497">
        <v>1</v>
      </c>
      <c r="E79" s="497">
        <v>2</v>
      </c>
      <c r="F79" s="497">
        <v>3</v>
      </c>
      <c r="G79" s="497">
        <v>4</v>
      </c>
      <c r="H79" s="497">
        <v>5</v>
      </c>
      <c r="I79" s="497">
        <v>6</v>
      </c>
      <c r="J79" s="497">
        <v>7</v>
      </c>
      <c r="K79" s="497">
        <v>8</v>
      </c>
      <c r="L79" s="499"/>
      <c r="M79" s="500"/>
      <c r="N79" s="2748"/>
      <c r="O79" s="2748"/>
      <c r="P79" s="2773"/>
      <c r="Q79" s="2734"/>
      <c r="R79" s="2720"/>
      <c r="S79" s="2720"/>
      <c r="T79" s="2720"/>
      <c r="U79" s="2720"/>
      <c r="V79" s="2720"/>
      <c r="W79" s="2720"/>
      <c r="X79" s="2720"/>
      <c r="Y79" s="2720"/>
      <c r="Z79" s="2720"/>
      <c r="AA79" s="2720"/>
      <c r="AB79" s="2720"/>
      <c r="AC79" s="2720"/>
    </row>
    <row r="80" spans="1:29" ht="15.75" thickBot="1">
      <c r="A80" s="482"/>
      <c r="B80" s="483"/>
      <c r="C80" s="492">
        <v>100</v>
      </c>
      <c r="D80" s="492">
        <f t="shared" ref="D80:M80" si="21">IF($B$46="单位面积地价",C80+$K11,C80-$K11)</f>
        <v>99</v>
      </c>
      <c r="E80" s="492">
        <f t="shared" si="21"/>
        <v>98</v>
      </c>
      <c r="F80" s="492">
        <f t="shared" si="21"/>
        <v>97</v>
      </c>
      <c r="G80" s="492">
        <f t="shared" si="21"/>
        <v>96</v>
      </c>
      <c r="H80" s="492">
        <f t="shared" si="21"/>
        <v>95</v>
      </c>
      <c r="I80" s="492">
        <f t="shared" si="21"/>
        <v>94</v>
      </c>
      <c r="J80" s="492">
        <f t="shared" si="21"/>
        <v>93</v>
      </c>
      <c r="K80" s="492">
        <f t="shared" si="21"/>
        <v>92</v>
      </c>
      <c r="L80" s="492">
        <f t="shared" si="21"/>
        <v>91</v>
      </c>
      <c r="M80" s="492">
        <f t="shared" si="21"/>
        <v>90</v>
      </c>
      <c r="N80" s="2749"/>
      <c r="O80" s="2749"/>
      <c r="P80" s="2773"/>
      <c r="Q80" s="2734"/>
      <c r="R80" s="2720"/>
      <c r="S80" s="2720"/>
      <c r="T80" s="2720"/>
      <c r="U80" s="2720"/>
      <c r="V80" s="2720"/>
      <c r="W80" s="2720"/>
      <c r="X80" s="2720"/>
      <c r="Y80" s="2720"/>
      <c r="Z80" s="2720"/>
      <c r="AA80" s="2720"/>
      <c r="AB80" s="2720"/>
      <c r="AC80" s="2720"/>
    </row>
    <row r="81" spans="1:29" s="421" customFormat="1" ht="15.75" thickTop="1">
      <c r="A81" s="501"/>
      <c r="B81" s="486" t="str">
        <f>B12</f>
        <v>是否自持</v>
      </c>
      <c r="C81" s="3457" t="s">
        <v>3597</v>
      </c>
      <c r="D81" s="502" t="s">
        <v>3586</v>
      </c>
      <c r="E81" s="502" t="s">
        <v>3584</v>
      </c>
      <c r="F81" s="502"/>
      <c r="G81" s="502"/>
      <c r="H81" s="503"/>
      <c r="I81" s="503"/>
      <c r="J81" s="503"/>
      <c r="K81" s="503"/>
      <c r="L81" s="504"/>
      <c r="M81" s="505"/>
      <c r="N81" s="2750"/>
      <c r="O81" s="2750"/>
      <c r="P81" s="2774"/>
      <c r="Q81" s="2741"/>
      <c r="R81" s="2742"/>
      <c r="S81" s="2742"/>
      <c r="T81" s="2742"/>
      <c r="U81" s="2742"/>
      <c r="V81" s="2742"/>
      <c r="W81" s="2742"/>
      <c r="X81" s="2742"/>
      <c r="Y81" s="2742"/>
      <c r="Z81" s="2742"/>
      <c r="AA81" s="2742"/>
      <c r="AB81" s="2742"/>
      <c r="AC81" s="2742"/>
    </row>
    <row r="82" spans="1:29" s="421" customFormat="1" ht="15.75" thickBot="1">
      <c r="A82" s="501"/>
      <c r="B82" s="491"/>
      <c r="C82" s="508">
        <v>95</v>
      </c>
      <c r="D82" s="484">
        <v>100</v>
      </c>
      <c r="E82" s="484">
        <v>100</v>
      </c>
      <c r="F82" s="484"/>
      <c r="G82" s="484"/>
      <c r="H82" s="484"/>
      <c r="I82" s="484"/>
      <c r="J82" s="484"/>
      <c r="K82" s="484"/>
      <c r="L82" s="484"/>
      <c r="M82" s="485"/>
      <c r="N82" s="2749"/>
      <c r="O82" s="2749"/>
      <c r="P82" s="2774"/>
      <c r="Q82" s="2741"/>
      <c r="R82" s="2742"/>
      <c r="S82" s="2742"/>
      <c r="T82" s="2742"/>
      <c r="U82" s="2742"/>
      <c r="V82" s="2742"/>
      <c r="W82" s="2742"/>
      <c r="X82" s="2742"/>
      <c r="Y82" s="2742"/>
      <c r="Z82" s="2742"/>
      <c r="AA82" s="2742"/>
      <c r="AB82" s="2742"/>
      <c r="AC82" s="2742"/>
    </row>
    <row r="83" spans="1:29" s="421" customFormat="1" ht="15.75" thickTop="1">
      <c r="A83" s="501"/>
      <c r="B83" s="486">
        <f>B13</f>
        <v>111</v>
      </c>
      <c r="C83" s="3457"/>
      <c r="D83" s="3457"/>
      <c r="E83" s="502"/>
      <c r="F83" s="502"/>
      <c r="G83" s="502"/>
      <c r="H83" s="503"/>
      <c r="I83" s="503"/>
      <c r="J83" s="503"/>
      <c r="K83" s="503"/>
      <c r="L83" s="504"/>
      <c r="M83" s="505"/>
      <c r="N83" s="2750"/>
      <c r="O83" s="2750"/>
      <c r="P83" s="2718"/>
      <c r="Q83" s="2744"/>
      <c r="R83" s="2742"/>
      <c r="S83" s="2742"/>
      <c r="T83" s="2742"/>
      <c r="U83" s="2742"/>
      <c r="V83" s="2742"/>
      <c r="W83" s="2742"/>
      <c r="X83" s="2742"/>
      <c r="Y83" s="2742"/>
      <c r="Z83" s="2742"/>
      <c r="AA83" s="2742"/>
      <c r="AB83" s="2742"/>
      <c r="AC83" s="2742"/>
    </row>
    <row r="84" spans="1:29" s="421" customFormat="1" ht="15.75" thickBot="1">
      <c r="A84" s="501"/>
      <c r="B84" s="491"/>
      <c r="C84" s="508"/>
      <c r="D84" s="508"/>
      <c r="E84" s="508"/>
      <c r="F84" s="508"/>
      <c r="G84" s="508"/>
      <c r="H84" s="510"/>
      <c r="I84" s="510"/>
      <c r="J84" s="510"/>
      <c r="K84" s="510"/>
      <c r="L84" s="510"/>
      <c r="M84" s="511"/>
      <c r="N84" s="2750"/>
      <c r="O84" s="2750"/>
      <c r="P84" s="2774"/>
      <c r="Q84" s="2741"/>
      <c r="R84" s="2742"/>
      <c r="S84" s="2742"/>
      <c r="T84" s="2742"/>
      <c r="U84" s="2742"/>
      <c r="V84" s="2742"/>
      <c r="W84" s="2742"/>
      <c r="X84" s="2742"/>
      <c r="Y84" s="2742"/>
      <c r="Z84" s="2742"/>
      <c r="AA84" s="2742"/>
      <c r="AB84" s="2742"/>
      <c r="AC84" s="2742"/>
    </row>
    <row r="85" spans="1:29" s="421" customFormat="1" ht="15.75" thickTop="1">
      <c r="A85" s="501"/>
      <c r="B85" s="494">
        <f>B14</f>
        <v>111</v>
      </c>
      <c r="C85" s="471"/>
      <c r="D85" s="471"/>
      <c r="E85" s="471"/>
      <c r="F85" s="471"/>
      <c r="G85" s="471"/>
      <c r="H85" s="512"/>
      <c r="I85" s="512"/>
      <c r="J85" s="512"/>
      <c r="K85" s="512"/>
      <c r="L85" s="513"/>
      <c r="M85" s="514"/>
      <c r="N85" s="2750"/>
      <c r="O85" s="2750"/>
      <c r="P85" s="2779"/>
      <c r="Q85" s="2741"/>
      <c r="R85" s="2742"/>
      <c r="S85" s="2742"/>
      <c r="T85" s="2742"/>
      <c r="U85" s="2742"/>
      <c r="V85" s="2742"/>
      <c r="W85" s="2742"/>
      <c r="X85" s="2742"/>
      <c r="Y85" s="2742"/>
      <c r="Z85" s="2742"/>
      <c r="AA85" s="2742"/>
      <c r="AB85" s="2742"/>
      <c r="AC85" s="2742"/>
    </row>
    <row r="86" spans="1:29" s="421" customFormat="1" ht="15.75" thickBot="1">
      <c r="A86" s="516"/>
      <c r="B86" s="517"/>
      <c r="C86" s="518"/>
      <c r="D86" s="518"/>
      <c r="E86" s="518"/>
      <c r="F86" s="518"/>
      <c r="G86" s="518"/>
      <c r="H86" s="519"/>
      <c r="I86" s="519"/>
      <c r="J86" s="519"/>
      <c r="K86" s="519"/>
      <c r="L86" s="519"/>
      <c r="M86" s="520"/>
      <c r="N86" s="2750"/>
      <c r="O86" s="2750"/>
      <c r="P86" s="2774"/>
      <c r="Q86" s="2741"/>
      <c r="R86" s="2742"/>
      <c r="S86" s="2742"/>
      <c r="T86" s="2742"/>
      <c r="U86" s="2742"/>
      <c r="V86" s="2742"/>
      <c r="W86" s="2742"/>
      <c r="X86" s="2742"/>
      <c r="Y86" s="2742"/>
      <c r="Z86" s="2742"/>
      <c r="AA86" s="2742"/>
      <c r="AB86" s="2742"/>
      <c r="AC86" s="2742"/>
    </row>
    <row r="87" spans="1:29">
      <c r="A87" s="475" t="s">
        <v>1688</v>
      </c>
      <c r="B87" s="476" t="s">
        <v>1718</v>
      </c>
      <c r="C87" s="521" t="s">
        <v>1719</v>
      </c>
      <c r="D87" s="521" t="s">
        <v>1720</v>
      </c>
      <c r="E87" s="521" t="s">
        <v>1721</v>
      </c>
      <c r="F87" s="521" t="s">
        <v>1722</v>
      </c>
      <c r="G87" s="521" t="s">
        <v>1723</v>
      </c>
      <c r="H87" s="477"/>
      <c r="I87" s="477"/>
      <c r="J87" s="477"/>
      <c r="K87" s="522"/>
      <c r="L87" s="523"/>
      <c r="M87" s="524"/>
      <c r="N87" s="2748"/>
      <c r="O87" s="2748"/>
      <c r="P87" s="2775"/>
      <c r="Q87" s="2734"/>
      <c r="R87" s="2720"/>
      <c r="S87" s="2720"/>
      <c r="T87" s="2720"/>
      <c r="U87" s="2720"/>
      <c r="V87" s="2720"/>
      <c r="W87" s="2720"/>
      <c r="X87" s="2720"/>
      <c r="Y87" s="2720"/>
      <c r="Z87" s="2720"/>
      <c r="AA87" s="2720"/>
      <c r="AB87" s="2720"/>
      <c r="AC87" s="2720"/>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9"/>
      <c r="O88" s="2749"/>
      <c r="P88" s="2773"/>
      <c r="Q88" s="2734"/>
      <c r="R88" s="2720"/>
      <c r="S88" s="2720"/>
      <c r="T88" s="2720"/>
      <c r="U88" s="2720"/>
      <c r="V88" s="2720"/>
      <c r="W88" s="2720"/>
      <c r="X88" s="2720"/>
      <c r="Y88" s="2720"/>
      <c r="Z88" s="2720"/>
      <c r="AA88" s="2720"/>
      <c r="AB88" s="2720"/>
      <c r="AC88" s="2720"/>
    </row>
    <row r="89" spans="1:29" ht="15.75" thickTop="1">
      <c r="A89" s="482"/>
      <c r="B89" s="486" t="s">
        <v>1903</v>
      </c>
      <c r="C89" s="526" t="s">
        <v>1719</v>
      </c>
      <c r="D89" s="526" t="s">
        <v>1720</v>
      </c>
      <c r="E89" s="526" t="s">
        <v>1721</v>
      </c>
      <c r="F89" s="526" t="s">
        <v>1722</v>
      </c>
      <c r="G89" s="526" t="s">
        <v>1723</v>
      </c>
      <c r="H89" s="487"/>
      <c r="I89" s="487"/>
      <c r="J89" s="487"/>
      <c r="K89" s="488"/>
      <c r="L89" s="489"/>
      <c r="M89" s="490"/>
      <c r="N89" s="2748"/>
      <c r="O89" s="2748"/>
      <c r="P89" s="2773"/>
      <c r="Q89" s="2734"/>
      <c r="R89" s="2720"/>
      <c r="S89" s="2720"/>
      <c r="T89" s="2720"/>
      <c r="U89" s="2720"/>
      <c r="V89" s="2720"/>
      <c r="W89" s="2720"/>
      <c r="X89" s="2720"/>
      <c r="Y89" s="2720"/>
      <c r="Z89" s="2720"/>
      <c r="AA89" s="2720"/>
      <c r="AB89" s="2720"/>
      <c r="AC89" s="2720"/>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9"/>
      <c r="O90" s="2749"/>
      <c r="P90" s="2773"/>
      <c r="Q90" s="2734"/>
      <c r="R90" s="2720"/>
      <c r="S90" s="2720"/>
      <c r="T90" s="2720"/>
      <c r="U90" s="2720"/>
      <c r="V90" s="2720"/>
      <c r="W90" s="2720"/>
      <c r="X90" s="2720"/>
      <c r="Y90" s="2720"/>
      <c r="Z90" s="2720"/>
      <c r="AA90" s="2720"/>
      <c r="AB90" s="2720"/>
      <c r="AC90" s="2720"/>
    </row>
    <row r="91" spans="1:29" ht="15.75" thickTop="1">
      <c r="A91" s="482"/>
      <c r="B91" s="486" t="s">
        <v>1819</v>
      </c>
      <c r="C91" s="526" t="s">
        <v>1719</v>
      </c>
      <c r="D91" s="526" t="s">
        <v>1720</v>
      </c>
      <c r="E91" s="526" t="s">
        <v>1721</v>
      </c>
      <c r="F91" s="526" t="s">
        <v>1722</v>
      </c>
      <c r="G91" s="526" t="s">
        <v>1723</v>
      </c>
      <c r="H91" s="487"/>
      <c r="I91" s="487"/>
      <c r="J91" s="487"/>
      <c r="K91" s="488"/>
      <c r="L91" s="489"/>
      <c r="M91" s="490"/>
      <c r="N91" s="2748"/>
      <c r="O91" s="2748"/>
      <c r="P91" s="2773"/>
      <c r="Q91" s="2734"/>
      <c r="R91" s="2720"/>
      <c r="S91" s="2720"/>
      <c r="T91" s="2720"/>
      <c r="U91" s="2720"/>
      <c r="V91" s="2720"/>
      <c r="W91" s="2720"/>
      <c r="X91" s="2720"/>
      <c r="Y91" s="2720"/>
      <c r="Z91" s="2720"/>
      <c r="AA91" s="2720"/>
      <c r="AB91" s="2720"/>
      <c r="AC91" s="2720"/>
    </row>
    <row r="92" spans="1:29" ht="15.75" thickBot="1">
      <c r="A92" s="482"/>
      <c r="B92" s="491"/>
      <c r="C92" s="492">
        <v>100</v>
      </c>
      <c r="D92" s="492">
        <f>C92-$K19</f>
        <v>98</v>
      </c>
      <c r="E92" s="492">
        <f>D92-$K19</f>
        <v>96</v>
      </c>
      <c r="F92" s="492">
        <f>E92-$K19</f>
        <v>94</v>
      </c>
      <c r="G92" s="492">
        <f>F92-$K19</f>
        <v>92</v>
      </c>
      <c r="H92" s="492"/>
      <c r="I92" s="492"/>
      <c r="J92" s="492"/>
      <c r="K92" s="492"/>
      <c r="L92" s="492"/>
      <c r="M92" s="493"/>
      <c r="N92" s="2749"/>
      <c r="O92" s="2749"/>
      <c r="P92" s="2773"/>
      <c r="Q92" s="2734"/>
      <c r="R92" s="2720"/>
      <c r="S92" s="2720"/>
      <c r="T92" s="2720"/>
      <c r="U92" s="2720"/>
      <c r="V92" s="2720"/>
      <c r="W92" s="2720"/>
      <c r="X92" s="2720"/>
      <c r="Y92" s="2720"/>
      <c r="Z92" s="2720"/>
      <c r="AA92" s="2720"/>
      <c r="AB92" s="2720"/>
      <c r="AC92" s="2720"/>
    </row>
    <row r="93" spans="1:29" ht="15.75" thickTop="1">
      <c r="A93" s="482"/>
      <c r="B93" s="486" t="s">
        <v>1724</v>
      </c>
      <c r="C93" s="526" t="s">
        <v>1719</v>
      </c>
      <c r="D93" s="526" t="s">
        <v>1720</v>
      </c>
      <c r="E93" s="526" t="s">
        <v>1721</v>
      </c>
      <c r="F93" s="526" t="s">
        <v>1722</v>
      </c>
      <c r="G93" s="526" t="s">
        <v>1723</v>
      </c>
      <c r="H93" s="487"/>
      <c r="I93" s="487"/>
      <c r="J93" s="487"/>
      <c r="K93" s="488"/>
      <c r="L93" s="489"/>
      <c r="M93" s="490"/>
      <c r="N93" s="2748"/>
      <c r="O93" s="2748"/>
      <c r="P93" s="2773"/>
      <c r="Q93" s="2734"/>
      <c r="R93" s="2720"/>
      <c r="S93" s="2720"/>
      <c r="T93" s="2720"/>
      <c r="U93" s="2720"/>
      <c r="V93" s="2720"/>
      <c r="W93" s="2720"/>
      <c r="X93" s="2720"/>
      <c r="Y93" s="2720"/>
      <c r="Z93" s="2720"/>
      <c r="AA93" s="2720"/>
      <c r="AB93" s="2720"/>
      <c r="AC93" s="2720"/>
    </row>
    <row r="94" spans="1:29" ht="15.75" thickBot="1">
      <c r="A94" s="482"/>
      <c r="B94" s="491"/>
      <c r="C94" s="492">
        <v>100</v>
      </c>
      <c r="D94" s="492">
        <f>C94-$K21</f>
        <v>98</v>
      </c>
      <c r="E94" s="492">
        <f>D94-$K21</f>
        <v>96</v>
      </c>
      <c r="F94" s="492">
        <f>E94-$K21</f>
        <v>94</v>
      </c>
      <c r="G94" s="492">
        <f>F94-$K21</f>
        <v>92</v>
      </c>
      <c r="H94" s="492"/>
      <c r="I94" s="492"/>
      <c r="J94" s="492"/>
      <c r="K94" s="492"/>
      <c r="L94" s="492"/>
      <c r="M94" s="493"/>
      <c r="N94" s="2749"/>
      <c r="O94" s="2749"/>
      <c r="P94" s="2773"/>
      <c r="Q94" s="2734"/>
      <c r="R94" s="2720"/>
      <c r="S94" s="2720"/>
      <c r="T94" s="2720"/>
      <c r="U94" s="2720"/>
      <c r="V94" s="2720"/>
      <c r="W94" s="2720"/>
      <c r="X94" s="2720"/>
      <c r="Y94" s="2720"/>
      <c r="Z94" s="2720"/>
      <c r="AA94" s="2720"/>
      <c r="AB94" s="2720"/>
      <c r="AC94" s="2720"/>
    </row>
    <row r="95" spans="1:29" s="108" customFormat="1" ht="15.75" thickTop="1">
      <c r="A95" s="527"/>
      <c r="B95" s="486" t="s">
        <v>1904</v>
      </c>
      <c r="C95" s="526" t="s">
        <v>1719</v>
      </c>
      <c r="D95" s="526" t="s">
        <v>1720</v>
      </c>
      <c r="E95" s="526" t="s">
        <v>1721</v>
      </c>
      <c r="F95" s="526" t="s">
        <v>1722</v>
      </c>
      <c r="G95" s="526" t="s">
        <v>1723</v>
      </c>
      <c r="H95" s="526"/>
      <c r="I95" s="526"/>
      <c r="J95" s="526"/>
      <c r="K95" s="526"/>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9"/>
      <c r="O96" s="2749"/>
      <c r="P96" s="2773"/>
      <c r="Q96" s="2734"/>
      <c r="R96" s="2656"/>
      <c r="S96" s="2656"/>
      <c r="T96" s="2656"/>
      <c r="U96" s="2656"/>
      <c r="V96" s="2656"/>
      <c r="W96" s="2656"/>
      <c r="X96" s="2656"/>
      <c r="Y96" s="2656"/>
      <c r="Z96" s="2656"/>
      <c r="AA96" s="2656"/>
      <c r="AB96" s="2656"/>
      <c r="AC96" s="2656"/>
    </row>
    <row r="97" spans="1:29" s="108" customFormat="1" ht="27.75" thickTop="1">
      <c r="A97" s="527"/>
      <c r="B97" s="486" t="s">
        <v>1905</v>
      </c>
      <c r="C97" s="521" t="s">
        <v>1719</v>
      </c>
      <c r="D97" s="521" t="s">
        <v>1720</v>
      </c>
      <c r="E97" s="521" t="s">
        <v>1721</v>
      </c>
      <c r="F97" s="521" t="s">
        <v>1722</v>
      </c>
      <c r="G97" s="521" t="s">
        <v>1723</v>
      </c>
      <c r="H97" s="526"/>
      <c r="I97" s="526"/>
      <c r="J97" s="526"/>
      <c r="K97" s="526"/>
      <c r="L97" s="526"/>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49"/>
      <c r="O98" s="2749"/>
      <c r="P98" s="2773"/>
      <c r="Q98" s="2734"/>
      <c r="R98" s="2656"/>
      <c r="S98" s="2656"/>
      <c r="T98" s="2656"/>
      <c r="U98" s="2656"/>
      <c r="V98" s="2656"/>
      <c r="W98" s="2656"/>
      <c r="X98" s="2656"/>
      <c r="Y98" s="2656"/>
      <c r="Z98" s="2656"/>
      <c r="AA98" s="2656"/>
      <c r="AB98" s="2656"/>
      <c r="AC98" s="2656"/>
    </row>
    <row r="99" spans="1:29" s="421" customFormat="1" ht="15.75" thickTop="1">
      <c r="A99" s="501"/>
      <c r="B99" s="486" t="s">
        <v>1776</v>
      </c>
      <c r="C99" s="521" t="s">
        <v>1719</v>
      </c>
      <c r="D99" s="521" t="s">
        <v>1720</v>
      </c>
      <c r="E99" s="521" t="s">
        <v>1721</v>
      </c>
      <c r="F99" s="521" t="s">
        <v>1722</v>
      </c>
      <c r="G99" s="521" t="s">
        <v>1723</v>
      </c>
      <c r="H99" s="548"/>
      <c r="I99" s="548"/>
      <c r="J99" s="548"/>
      <c r="K99" s="548"/>
      <c r="L99" s="549"/>
      <c r="M99" s="550"/>
      <c r="N99" s="2750"/>
      <c r="O99" s="2750"/>
      <c r="P99" s="2774"/>
      <c r="Q99" s="2741"/>
      <c r="R99" s="2742"/>
      <c r="S99" s="2742"/>
      <c r="T99" s="2742"/>
      <c r="U99" s="2742"/>
      <c r="V99" s="2742"/>
      <c r="W99" s="2742"/>
      <c r="X99" s="2742"/>
      <c r="Y99" s="2742"/>
      <c r="Z99" s="2742"/>
      <c r="AA99" s="2742"/>
      <c r="AB99" s="2742"/>
      <c r="AC99" s="2742"/>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50"/>
      <c r="O100" s="2750"/>
      <c r="P100" s="2774"/>
      <c r="Q100" s="2741"/>
      <c r="R100" s="2742"/>
      <c r="S100" s="2742"/>
      <c r="T100" s="2742"/>
      <c r="U100" s="2742"/>
      <c r="V100" s="2742"/>
      <c r="W100" s="2742"/>
      <c r="X100" s="2742"/>
      <c r="Y100" s="2742"/>
      <c r="Z100" s="2742"/>
      <c r="AA100" s="2742"/>
      <c r="AB100" s="2742"/>
      <c r="AC100" s="2742"/>
    </row>
    <row r="101" spans="1:29" s="421" customFormat="1" ht="15.75" thickTop="1">
      <c r="A101" s="501"/>
      <c r="B101" s="494" t="s">
        <v>1777</v>
      </c>
      <c r="C101" s="607" t="s">
        <v>1797</v>
      </c>
      <c r="D101" s="607" t="s">
        <v>1798</v>
      </c>
      <c r="E101" s="607" t="s">
        <v>1799</v>
      </c>
      <c r="F101" s="607" t="s">
        <v>1800</v>
      </c>
      <c r="G101" s="607" t="s">
        <v>1801</v>
      </c>
      <c r="H101" s="548"/>
      <c r="I101" s="548"/>
      <c r="J101" s="548"/>
      <c r="K101" s="548"/>
      <c r="L101" s="548"/>
      <c r="M101" s="1128"/>
      <c r="N101" s="2750"/>
      <c r="O101" s="2750"/>
      <c r="P101" s="2774"/>
      <c r="Q101" s="2741"/>
      <c r="R101" s="2742"/>
      <c r="S101" s="2742"/>
      <c r="T101" s="2742"/>
      <c r="U101" s="2742"/>
      <c r="V101" s="2742"/>
      <c r="W101" s="2742"/>
      <c r="X101" s="2742"/>
      <c r="Y101" s="2742"/>
      <c r="Z101" s="2742"/>
      <c r="AA101" s="2742"/>
      <c r="AB101" s="2742"/>
      <c r="AC101" s="2742"/>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48"/>
      <c r="O103" s="2748"/>
      <c r="P103" s="2773"/>
      <c r="Q103" s="2734"/>
      <c r="R103" s="2720"/>
      <c r="S103" s="2720"/>
      <c r="T103" s="2720"/>
      <c r="U103" s="2720"/>
      <c r="V103" s="2720"/>
      <c r="W103" s="2720"/>
      <c r="X103" s="2720"/>
      <c r="Y103" s="2720"/>
      <c r="Z103" s="2720"/>
      <c r="AA103" s="2720"/>
      <c r="AB103" s="2720"/>
      <c r="AC103" s="2720"/>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2"/>
      <c r="B105" s="486" t="s">
        <v>1813</v>
      </c>
      <c r="C105" s="502"/>
      <c r="D105" s="502"/>
      <c r="E105" s="502"/>
      <c r="F105" s="502"/>
      <c r="G105" s="502"/>
      <c r="H105" s="531"/>
      <c r="I105" s="531"/>
      <c r="J105" s="531"/>
      <c r="K105" s="532"/>
      <c r="L105" s="533"/>
      <c r="M105" s="534"/>
      <c r="N105" s="2748"/>
      <c r="O105" s="2748"/>
      <c r="P105" s="2773"/>
      <c r="Q105" s="2734"/>
      <c r="R105" s="2720"/>
      <c r="S105" s="2720"/>
      <c r="T105" s="2720"/>
      <c r="U105" s="2720"/>
      <c r="V105" s="2720"/>
      <c r="W105" s="2720"/>
      <c r="X105" s="2720"/>
      <c r="Y105" s="2720"/>
      <c r="Z105" s="2720"/>
      <c r="AA105" s="2720"/>
      <c r="AB105" s="2720"/>
      <c r="AC105" s="2720"/>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2"/>
      <c r="B107" s="486" t="s">
        <v>1870</v>
      </c>
      <c r="C107" s="531"/>
      <c r="D107" s="531"/>
      <c r="E107" s="531"/>
      <c r="F107" s="531"/>
      <c r="G107" s="531"/>
      <c r="H107" s="531"/>
      <c r="I107" s="531"/>
      <c r="J107" s="531"/>
      <c r="K107" s="532"/>
      <c r="L107" s="533"/>
      <c r="M107" s="534"/>
      <c r="N107" s="2748"/>
      <c r="O107" s="2748"/>
      <c r="P107" s="2773"/>
      <c r="Q107" s="2734"/>
      <c r="R107" s="2720"/>
      <c r="S107" s="2720"/>
      <c r="T107" s="2720"/>
      <c r="U107" s="2720"/>
      <c r="V107" s="2720"/>
      <c r="W107" s="2720"/>
      <c r="X107" s="2720"/>
      <c r="Y107" s="2720"/>
      <c r="Z107" s="2720"/>
      <c r="AA107" s="2720"/>
      <c r="AB107" s="2720"/>
      <c r="AC107" s="2720"/>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2"/>
      <c r="B109" s="494">
        <f>B35</f>
        <v>111</v>
      </c>
      <c r="C109" s="502"/>
      <c r="D109" s="502"/>
      <c r="E109" s="502"/>
      <c r="F109" s="502"/>
      <c r="G109" s="535"/>
      <c r="H109" s="535"/>
      <c r="I109" s="535"/>
      <c r="J109" s="535"/>
      <c r="K109" s="536"/>
      <c r="L109" s="537"/>
      <c r="M109" s="538"/>
      <c r="N109" s="2748"/>
      <c r="O109" s="2748"/>
      <c r="P109" s="2773"/>
      <c r="Q109" s="2734"/>
      <c r="R109" s="2720"/>
      <c r="S109" s="2720"/>
      <c r="T109" s="2720"/>
      <c r="U109" s="2720"/>
      <c r="V109" s="2720"/>
      <c r="W109" s="2720"/>
      <c r="X109" s="2720"/>
      <c r="Y109" s="2720"/>
      <c r="Z109" s="2720"/>
      <c r="AA109" s="2720"/>
      <c r="AB109" s="2720"/>
      <c r="AC109" s="2720"/>
    </row>
    <row r="110" spans="1:29" ht="15.75" thickBot="1">
      <c r="A110" s="482"/>
      <c r="B110" s="517"/>
      <c r="C110" s="508"/>
      <c r="D110" s="508"/>
      <c r="E110" s="508"/>
      <c r="F110" s="508"/>
      <c r="G110" s="539"/>
      <c r="H110" s="539"/>
      <c r="I110" s="539"/>
      <c r="J110" s="539"/>
      <c r="K110" s="539"/>
      <c r="L110" s="539"/>
      <c r="M110" s="540"/>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6">
        <f>B36</f>
        <v>111</v>
      </c>
      <c r="C111" s="471"/>
      <c r="D111" s="471"/>
      <c r="E111" s="471"/>
      <c r="F111" s="471"/>
      <c r="G111" s="531"/>
      <c r="H111" s="531"/>
      <c r="I111" s="531"/>
      <c r="J111" s="531"/>
      <c r="K111" s="532"/>
      <c r="L111" s="533"/>
      <c r="M111" s="534"/>
      <c r="N111" s="2748"/>
      <c r="O111" s="2748"/>
      <c r="P111" s="2773"/>
      <c r="Q111" s="2734"/>
      <c r="R111" s="2720"/>
      <c r="S111" s="2720"/>
      <c r="T111" s="2720"/>
      <c r="U111" s="2720"/>
      <c r="V111" s="2720"/>
      <c r="W111" s="2720"/>
      <c r="X111" s="2720"/>
      <c r="Y111" s="2720"/>
      <c r="Z111" s="2720"/>
      <c r="AA111" s="2720"/>
      <c r="AB111" s="2720"/>
      <c r="AC111" s="2720"/>
    </row>
    <row r="112" spans="1:29" ht="15.75" thickBot="1">
      <c r="A112" s="482"/>
      <c r="B112" s="491"/>
      <c r="C112" s="518"/>
      <c r="D112" s="518"/>
      <c r="E112" s="518"/>
      <c r="F112" s="518"/>
      <c r="G112" s="484"/>
      <c r="H112" s="484"/>
      <c r="I112" s="484"/>
      <c r="J112" s="484"/>
      <c r="K112" s="484"/>
      <c r="L112" s="484"/>
      <c r="M112" s="485"/>
      <c r="N112" s="2749"/>
      <c r="O112" s="2749"/>
      <c r="P112" s="2773"/>
      <c r="Q112" s="2734"/>
      <c r="R112" s="2720"/>
      <c r="S112" s="2720"/>
      <c r="T112" s="2720"/>
      <c r="U112" s="2720"/>
      <c r="V112" s="2720"/>
      <c r="W112" s="2720"/>
      <c r="X112" s="2720"/>
      <c r="Y112" s="2720"/>
      <c r="Z112" s="2720"/>
      <c r="AA112" s="2720"/>
      <c r="AB112" s="2720"/>
      <c r="AC112" s="2720"/>
    </row>
    <row r="113" spans="1:29" s="421" customFormat="1" ht="15" thickTop="1">
      <c r="A113" s="541"/>
      <c r="B113" s="542">
        <f>B37</f>
        <v>111</v>
      </c>
      <c r="C113" s="543"/>
      <c r="D113" s="543"/>
      <c r="E113" s="543"/>
      <c r="F113" s="543"/>
      <c r="G113" s="543"/>
      <c r="H113" s="543"/>
      <c r="I113" s="543"/>
      <c r="J113" s="544"/>
      <c r="K113" s="544"/>
      <c r="L113" s="545"/>
      <c r="M113" s="546"/>
      <c r="N113" s="2750"/>
      <c r="O113" s="2750"/>
      <c r="P113" s="2774"/>
      <c r="Q113" s="2741"/>
      <c r="R113" s="2742"/>
      <c r="S113" s="2742"/>
      <c r="T113" s="2742"/>
      <c r="U113" s="2742"/>
      <c r="V113" s="2742"/>
      <c r="W113" s="2742"/>
      <c r="X113" s="2742"/>
      <c r="Y113" s="2742"/>
      <c r="Z113" s="2742"/>
      <c r="AA113" s="2742"/>
      <c r="AB113" s="2742"/>
      <c r="AC113" s="2742"/>
    </row>
    <row r="114" spans="1:29" s="421" customFormat="1" ht="15.75" thickBot="1">
      <c r="A114" s="501"/>
      <c r="B114" s="494"/>
      <c r="C114" s="460"/>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ht="28.5">
      <c r="A115" s="475" t="s">
        <v>1692</v>
      </c>
      <c r="B115" s="476" t="s">
        <v>1910</v>
      </c>
      <c r="C115" s="477" t="str">
        <f>C116&amp;"(含)"&amp;"-"&amp;D116</f>
        <v>0(含)-20000</v>
      </c>
      <c r="D115" s="477" t="str">
        <f t="shared" ref="D115:M115" si="25">D116&amp;"(含)"&amp;"-"&amp;E116</f>
        <v>20000(含)-40000</v>
      </c>
      <c r="E115" s="477" t="str">
        <f t="shared" si="25"/>
        <v>40000(含)-60000</v>
      </c>
      <c r="F115" s="477" t="str">
        <f t="shared" si="25"/>
        <v>60000(含)-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2"/>
      <c r="B116" s="494"/>
      <c r="C116" s="543">
        <v>0</v>
      </c>
      <c r="D116" s="543">
        <v>20000</v>
      </c>
      <c r="E116" s="543">
        <v>40000</v>
      </c>
      <c r="F116" s="543">
        <v>60000</v>
      </c>
      <c r="G116" s="543"/>
      <c r="H116" s="543"/>
      <c r="I116" s="543"/>
      <c r="J116" s="544"/>
      <c r="K116" s="544"/>
      <c r="L116" s="545"/>
      <c r="M116" s="546"/>
      <c r="N116" s="2748"/>
      <c r="O116" s="2748"/>
      <c r="P116" s="2773"/>
      <c r="Q116" s="2734"/>
      <c r="R116" s="2720"/>
      <c r="S116" s="2720"/>
      <c r="T116" s="2720"/>
      <c r="U116" s="2720"/>
      <c r="V116" s="2720"/>
      <c r="W116" s="2720"/>
      <c r="X116" s="2720"/>
      <c r="Y116" s="2720"/>
      <c r="Z116" s="2720"/>
      <c r="AA116" s="2720"/>
      <c r="AB116" s="2720"/>
      <c r="AC116" s="2720"/>
    </row>
    <row r="117" spans="1:29" ht="15.75" thickBot="1">
      <c r="A117" s="482"/>
      <c r="B117" s="491"/>
      <c r="C117" s="518">
        <v>100</v>
      </c>
      <c r="D117" s="539">
        <v>102</v>
      </c>
      <c r="E117" s="539">
        <v>104</v>
      </c>
      <c r="F117" s="539">
        <v>102</v>
      </c>
      <c r="G117" s="539"/>
      <c r="H117" s="539"/>
      <c r="I117" s="539"/>
      <c r="J117" s="539"/>
      <c r="K117" s="539"/>
      <c r="L117" s="539"/>
      <c r="M117" s="540"/>
      <c r="N117" s="2749"/>
      <c r="O117" s="2749"/>
      <c r="P117" s="2773"/>
      <c r="Q117" s="2734"/>
      <c r="R117" s="2720"/>
      <c r="S117" s="2720"/>
      <c r="T117" s="2720"/>
      <c r="U117" s="2720"/>
      <c r="V117" s="2720"/>
      <c r="W117" s="2720"/>
      <c r="X117" s="2720"/>
      <c r="Y117" s="2720"/>
      <c r="Z117" s="2720"/>
      <c r="AA117" s="2720"/>
      <c r="AB117" s="2720"/>
      <c r="AC117" s="2720"/>
    </row>
    <row r="118" spans="1:29" ht="15" thickTop="1">
      <c r="A118" s="547"/>
      <c r="B118" s="486" t="s">
        <v>1911</v>
      </c>
      <c r="C118" s="531"/>
      <c r="D118" s="531"/>
      <c r="E118" s="531"/>
      <c r="F118" s="531"/>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7"/>
      <c r="B120" s="486" t="s">
        <v>1912</v>
      </c>
      <c r="C120" s="502"/>
      <c r="D120" s="502"/>
      <c r="E120" s="502"/>
      <c r="F120" s="531"/>
      <c r="G120" s="531"/>
      <c r="H120" s="531"/>
      <c r="I120" s="531"/>
      <c r="J120" s="531"/>
      <c r="K120" s="532"/>
      <c r="L120" s="533"/>
      <c r="M120" s="534"/>
      <c r="N120" s="2748"/>
      <c r="O120" s="2748"/>
      <c r="P120" s="2773"/>
      <c r="Q120" s="2734"/>
      <c r="R120" s="2720"/>
      <c r="S120" s="2720"/>
      <c r="T120" s="2720"/>
      <c r="U120" s="2720"/>
      <c r="V120" s="2720"/>
      <c r="W120" s="2720"/>
      <c r="X120" s="2720"/>
      <c r="Y120" s="2720"/>
      <c r="Z120" s="2720"/>
      <c r="AA120" s="2720"/>
      <c r="AB120" s="2720"/>
      <c r="AC120" s="2720"/>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9"/>
      <c r="O121" s="2749"/>
      <c r="P121" s="2773"/>
      <c r="Q121" s="2734"/>
      <c r="R121" s="2720"/>
      <c r="S121" s="2720"/>
      <c r="T121" s="2720"/>
      <c r="U121" s="2720"/>
      <c r="V121" s="2720"/>
      <c r="W121" s="2720"/>
      <c r="X121" s="2720"/>
      <c r="Y121" s="2720"/>
      <c r="Z121" s="2720"/>
      <c r="AA121" s="2720"/>
      <c r="AB121" s="2720"/>
      <c r="AC121" s="2720"/>
    </row>
    <row r="122" spans="1:29" s="421" customFormat="1" ht="15" thickTop="1">
      <c r="A122" s="541"/>
      <c r="B122" s="486" t="s">
        <v>1913</v>
      </c>
      <c r="C122" s="502" t="s">
        <v>3587</v>
      </c>
      <c r="D122" s="502" t="s">
        <v>3588</v>
      </c>
      <c r="E122" s="502" t="s">
        <v>3589</v>
      </c>
      <c r="F122" s="502" t="s">
        <v>3590</v>
      </c>
      <c r="G122" s="502" t="s">
        <v>3591</v>
      </c>
      <c r="H122" s="531"/>
      <c r="I122" s="531"/>
      <c r="J122" s="531"/>
      <c r="K122" s="532"/>
      <c r="L122" s="533"/>
      <c r="M122" s="534"/>
      <c r="N122" s="2750"/>
      <c r="O122" s="2750"/>
      <c r="P122" s="2774"/>
      <c r="Q122" s="2741"/>
      <c r="R122" s="2742"/>
      <c r="S122" s="2742"/>
      <c r="T122" s="2742"/>
      <c r="U122" s="2742"/>
      <c r="V122" s="2742"/>
      <c r="W122" s="2742"/>
      <c r="X122" s="2742"/>
      <c r="Y122" s="2742"/>
      <c r="Z122" s="2742"/>
      <c r="AA122" s="2742"/>
      <c r="AB122" s="2742"/>
      <c r="AC122" s="2742"/>
    </row>
    <row r="123" spans="1:29" s="421" customFormat="1" ht="15.75" thickBot="1">
      <c r="A123" s="501"/>
      <c r="B123" s="491"/>
      <c r="C123" s="492">
        <v>100</v>
      </c>
      <c r="D123" s="492">
        <f t="shared" ref="D123:M123" si="28">C123-$K41</f>
        <v>98</v>
      </c>
      <c r="E123" s="492">
        <f t="shared" si="28"/>
        <v>96</v>
      </c>
      <c r="F123" s="492">
        <f t="shared" si="28"/>
        <v>94</v>
      </c>
      <c r="G123" s="492">
        <f t="shared" si="28"/>
        <v>92</v>
      </c>
      <c r="H123" s="492">
        <f t="shared" si="28"/>
        <v>90</v>
      </c>
      <c r="I123" s="492">
        <f t="shared" si="28"/>
        <v>88</v>
      </c>
      <c r="J123" s="492">
        <f t="shared" si="28"/>
        <v>86</v>
      </c>
      <c r="K123" s="492">
        <f t="shared" si="28"/>
        <v>84</v>
      </c>
      <c r="L123" s="492">
        <f t="shared" si="28"/>
        <v>82</v>
      </c>
      <c r="M123" s="493">
        <f t="shared" si="28"/>
        <v>80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7"/>
      <c r="B124" s="486" t="s">
        <v>1914</v>
      </c>
      <c r="C124" s="502"/>
      <c r="D124" s="502"/>
      <c r="E124" s="531"/>
      <c r="F124" s="531"/>
      <c r="G124" s="531"/>
      <c r="H124" s="531"/>
      <c r="I124" s="531"/>
      <c r="J124" s="531"/>
      <c r="K124" s="532"/>
      <c r="L124" s="533"/>
      <c r="M124" s="534"/>
      <c r="N124" s="2748"/>
      <c r="O124" s="2748"/>
      <c r="P124" s="2773"/>
      <c r="Q124" s="2734"/>
      <c r="R124" s="2720"/>
      <c r="S124" s="2720"/>
      <c r="T124" s="2720"/>
      <c r="U124" s="2720"/>
      <c r="V124" s="2720"/>
      <c r="W124" s="2720"/>
      <c r="X124" s="2720"/>
      <c r="Y124" s="2720"/>
      <c r="Z124" s="2720"/>
      <c r="AA124" s="2720"/>
      <c r="AB124" s="2720"/>
      <c r="AC124" s="2720"/>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7"/>
      <c r="B126" s="486">
        <f>B43</f>
        <v>111</v>
      </c>
      <c r="C126" s="502"/>
      <c r="D126" s="502"/>
      <c r="E126" s="502"/>
      <c r="F126" s="502"/>
      <c r="G126" s="502"/>
      <c r="H126" s="531"/>
      <c r="I126" s="531"/>
      <c r="J126" s="531"/>
      <c r="K126" s="532"/>
      <c r="L126" s="533"/>
      <c r="M126" s="534"/>
      <c r="N126" s="2748"/>
      <c r="O126" s="2748"/>
      <c r="P126" s="2773"/>
      <c r="Q126" s="2734"/>
      <c r="R126" s="2720"/>
      <c r="S126" s="2720"/>
      <c r="T126" s="2720"/>
      <c r="U126" s="2720"/>
      <c r="V126" s="2720"/>
      <c r="W126" s="2720"/>
      <c r="X126" s="2720"/>
      <c r="Y126" s="2720"/>
      <c r="Z126" s="2720"/>
      <c r="AA126" s="2720"/>
      <c r="AB126" s="2720"/>
      <c r="AC126" s="2720"/>
    </row>
    <row r="127" spans="1:29" ht="15.75" thickBot="1">
      <c r="A127" s="482"/>
      <c r="B127" s="491"/>
      <c r="C127" s="508"/>
      <c r="D127" s="508"/>
      <c r="E127" s="508"/>
      <c r="F127" s="508"/>
      <c r="G127" s="484"/>
      <c r="H127" s="484"/>
      <c r="I127" s="484"/>
      <c r="J127" s="484"/>
      <c r="K127" s="484"/>
      <c r="L127" s="484"/>
      <c r="M127" s="485"/>
      <c r="N127" s="2749"/>
      <c r="O127" s="2749"/>
      <c r="P127" s="2773"/>
      <c r="Q127" s="2734"/>
      <c r="R127" s="2720"/>
      <c r="S127" s="2720"/>
      <c r="T127" s="2720"/>
      <c r="U127" s="2720"/>
      <c r="V127" s="2720"/>
      <c r="W127" s="2720"/>
      <c r="X127" s="2720"/>
      <c r="Y127" s="2720"/>
      <c r="Z127" s="2720"/>
      <c r="AA127" s="2720"/>
      <c r="AB127" s="2720"/>
      <c r="AC127" s="2720"/>
    </row>
    <row r="128" spans="1:29" ht="15" thickTop="1">
      <c r="A128" s="547"/>
      <c r="B128" s="486">
        <f>B44</f>
        <v>111</v>
      </c>
      <c r="C128" s="471"/>
      <c r="D128" s="471"/>
      <c r="E128" s="471"/>
      <c r="F128" s="471"/>
      <c r="G128" s="531"/>
      <c r="H128" s="531"/>
      <c r="I128" s="531"/>
      <c r="J128" s="531"/>
      <c r="K128" s="532"/>
      <c r="L128" s="533"/>
      <c r="M128" s="534"/>
      <c r="N128" s="2748"/>
      <c r="O128" s="2748"/>
      <c r="P128" s="2773"/>
      <c r="Q128" s="2734"/>
      <c r="R128" s="2720"/>
      <c r="S128" s="2720"/>
      <c r="T128" s="2720"/>
      <c r="U128" s="2720"/>
      <c r="V128" s="2720"/>
      <c r="W128" s="2720"/>
      <c r="X128" s="2720"/>
      <c r="Y128" s="2720"/>
      <c r="Z128" s="2720"/>
      <c r="AA128" s="2720"/>
      <c r="AB128" s="2720"/>
      <c r="AC128" s="2720"/>
    </row>
    <row r="129" spans="1:29" ht="15.75" thickBot="1">
      <c r="A129" s="482"/>
      <c r="B129" s="491"/>
      <c r="C129" s="518"/>
      <c r="D129" s="518"/>
      <c r="E129" s="518"/>
      <c r="F129" s="518"/>
      <c r="G129" s="484"/>
      <c r="H129" s="484"/>
      <c r="I129" s="484"/>
      <c r="J129" s="484"/>
      <c r="K129" s="484"/>
      <c r="L129" s="484"/>
      <c r="M129" s="485"/>
      <c r="N129" s="2749"/>
      <c r="O129" s="2749"/>
      <c r="P129" s="2773"/>
      <c r="Q129" s="2734"/>
      <c r="R129" s="2720"/>
      <c r="S129" s="2720"/>
      <c r="T129" s="2720"/>
      <c r="U129" s="2720"/>
      <c r="V129" s="2720"/>
      <c r="W129" s="2720"/>
      <c r="X129" s="2720"/>
      <c r="Y129" s="2720"/>
      <c r="Z129" s="2720"/>
      <c r="AA129" s="2720"/>
      <c r="AB129" s="2720"/>
      <c r="AC129" s="2720"/>
    </row>
    <row r="130" spans="1:29" s="421" customFormat="1" ht="15" thickTop="1">
      <c r="A130" s="541"/>
      <c r="B130" s="486">
        <f>B45</f>
        <v>111</v>
      </c>
      <c r="C130" s="471"/>
      <c r="D130" s="471"/>
      <c r="E130" s="471"/>
      <c r="F130" s="471"/>
      <c r="G130" s="503"/>
      <c r="H130" s="503"/>
      <c r="I130" s="503"/>
      <c r="J130" s="503"/>
      <c r="K130" s="503"/>
      <c r="L130" s="504"/>
      <c r="M130" s="505"/>
      <c r="N130" s="2750"/>
      <c r="O130" s="2750"/>
      <c r="P130" s="2774"/>
      <c r="Q130" s="2741"/>
      <c r="R130" s="2742"/>
      <c r="S130" s="2742"/>
      <c r="T130" s="2742"/>
      <c r="U130" s="2742"/>
      <c r="V130" s="2742"/>
      <c r="W130" s="2742"/>
      <c r="X130" s="2742"/>
      <c r="Y130" s="2742"/>
      <c r="Z130" s="2742"/>
      <c r="AA130" s="2742"/>
      <c r="AB130" s="2742"/>
      <c r="AC130" s="2742"/>
    </row>
    <row r="131" spans="1:29" s="421" customFormat="1" ht="15.75" thickBot="1">
      <c r="A131" s="516"/>
      <c r="B131" s="647"/>
      <c r="C131" s="518"/>
      <c r="D131" s="518"/>
      <c r="E131" s="518"/>
      <c r="F131" s="518"/>
      <c r="G131" s="539"/>
      <c r="H131" s="539"/>
      <c r="I131" s="539"/>
      <c r="J131" s="539"/>
      <c r="K131" s="539"/>
      <c r="L131" s="539"/>
      <c r="M131" s="540"/>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1915</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1460</v>
      </c>
      <c r="B2" s="618" t="e">
        <f>F61</f>
        <v>#DIV/0!</v>
      </c>
      <c r="C2" s="904"/>
      <c r="D2" s="904"/>
      <c r="E2" s="904"/>
      <c r="F2" s="905"/>
      <c r="G2" s="904"/>
      <c r="H2" s="904"/>
      <c r="I2" s="904"/>
      <c r="J2" s="904"/>
      <c r="K2" s="906"/>
      <c r="L2" s="2729"/>
      <c r="M2" s="2730"/>
      <c r="N2" s="2730"/>
      <c r="O2" s="2730"/>
      <c r="P2" s="697"/>
      <c r="Q2" s="697"/>
      <c r="R2" s="697"/>
      <c r="S2" s="697"/>
      <c r="T2" s="697"/>
      <c r="U2" s="697"/>
      <c r="V2" s="697"/>
      <c r="W2" s="697"/>
      <c r="X2" s="697"/>
      <c r="Y2" s="697"/>
      <c r="Z2" s="697"/>
      <c r="AA2" s="697"/>
      <c r="AB2" s="697"/>
      <c r="AC2" s="698"/>
    </row>
    <row r="3" spans="1:29" s="351" customFormat="1" ht="28.5" customHeight="1" thickBot="1">
      <c r="A3" s="202" t="s">
        <v>1462</v>
      </c>
      <c r="B3" s="557" t="e">
        <f>ROUND(IF(D3="",B2*10000/'数据-汇总表'!E3,B2*10000/D3),0)</f>
        <v>#DIV/0!</v>
      </c>
      <c r="C3" s="202" t="s">
        <v>1867</v>
      </c>
      <c r="D3" s="1188"/>
      <c r="E3" s="904"/>
      <c r="F3" s="905"/>
      <c r="G3" s="904"/>
      <c r="H3" s="904"/>
      <c r="I3" s="904"/>
      <c r="J3" s="904"/>
      <c r="K3" s="906"/>
      <c r="L3" s="2729"/>
      <c r="M3" s="2730"/>
      <c r="N3" s="2730"/>
      <c r="O3" s="2730"/>
      <c r="P3" s="697"/>
      <c r="Q3" s="697"/>
      <c r="R3" s="697"/>
      <c r="S3" s="697"/>
      <c r="T3" s="697"/>
      <c r="U3" s="697"/>
      <c r="V3" s="697"/>
      <c r="W3" s="697"/>
      <c r="X3" s="697"/>
      <c r="Y3" s="697"/>
      <c r="Z3" s="697"/>
      <c r="AA3" s="697"/>
      <c r="AB3" s="714"/>
      <c r="AC3" s="711"/>
    </row>
    <row r="4" spans="1:29" ht="15">
      <c r="A4" s="354" t="s">
        <v>1767</v>
      </c>
      <c r="B4" s="355"/>
      <c r="C4" s="3720" t="s">
        <v>1768</v>
      </c>
      <c r="D4" s="3721"/>
      <c r="E4" s="3722" t="s">
        <v>1769</v>
      </c>
      <c r="F4" s="3723"/>
      <c r="G4" s="3720" t="s">
        <v>1770</v>
      </c>
      <c r="H4" s="3721"/>
      <c r="I4" s="3720" t="s">
        <v>1771</v>
      </c>
      <c r="J4" s="3721"/>
      <c r="K4" s="558" t="s">
        <v>1772</v>
      </c>
      <c r="L4" s="2710"/>
      <c r="M4" s="2711"/>
      <c r="N4" s="2711"/>
      <c r="O4" s="2711"/>
      <c r="P4" s="3724" t="s">
        <v>1773</v>
      </c>
      <c r="Q4" s="3725"/>
      <c r="R4" s="3730" t="s">
        <v>1769</v>
      </c>
      <c r="S4" s="3731"/>
      <c r="T4" s="3730" t="s">
        <v>1770</v>
      </c>
      <c r="U4" s="3731"/>
      <c r="V4" s="3736" t="s">
        <v>1771</v>
      </c>
      <c r="W4" s="3736"/>
      <c r="X4" s="1350"/>
      <c r="Y4" s="3730" t="s">
        <v>1773</v>
      </c>
      <c r="Z4" s="3731"/>
      <c r="AA4" s="3717" t="s">
        <v>1769</v>
      </c>
      <c r="AB4" s="3718" t="s">
        <v>1770</v>
      </c>
      <c r="AC4" s="3717" t="s">
        <v>1771</v>
      </c>
    </row>
    <row r="5" spans="1:29" ht="15">
      <c r="A5" s="357"/>
      <c r="B5" s="358"/>
      <c r="C5" s="3739" t="s">
        <v>1671</v>
      </c>
      <c r="D5" s="3740"/>
      <c r="E5" s="3746" t="s">
        <v>1672</v>
      </c>
      <c r="F5" s="3747"/>
      <c r="G5" s="3739" t="s">
        <v>1673</v>
      </c>
      <c r="H5" s="3740"/>
      <c r="I5" s="3739" t="s">
        <v>1674</v>
      </c>
      <c r="J5" s="3740"/>
      <c r="K5" s="558"/>
      <c r="L5" s="2710"/>
      <c r="M5" s="2711"/>
      <c r="N5" s="2711"/>
      <c r="O5" s="2711"/>
      <c r="P5" s="3726"/>
      <c r="Q5" s="3727"/>
      <c r="R5" s="3732"/>
      <c r="S5" s="3733"/>
      <c r="T5" s="3732"/>
      <c r="U5" s="3733"/>
      <c r="V5" s="3736"/>
      <c r="W5" s="3736"/>
      <c r="X5" s="1350"/>
      <c r="Y5" s="3732"/>
      <c r="Z5" s="3733"/>
      <c r="AA5" s="3718"/>
      <c r="AB5" s="3718"/>
      <c r="AC5" s="3718"/>
    </row>
    <row r="6" spans="1:29" ht="15.75" thickBot="1">
      <c r="A6" s="359"/>
      <c r="B6" s="360"/>
      <c r="C6" s="3768" t="s">
        <v>1916</v>
      </c>
      <c r="D6" s="3769"/>
      <c r="E6" s="3770" t="s">
        <v>1916</v>
      </c>
      <c r="F6" s="3771"/>
      <c r="G6" s="3768" t="s">
        <v>1916</v>
      </c>
      <c r="H6" s="3769"/>
      <c r="I6" s="3768" t="s">
        <v>1916</v>
      </c>
      <c r="J6" s="3769"/>
      <c r="K6" s="558" t="s">
        <v>1676</v>
      </c>
      <c r="L6" s="2710"/>
      <c r="M6" s="2711"/>
      <c r="N6" s="2711"/>
      <c r="O6" s="2711"/>
      <c r="P6" s="3728"/>
      <c r="Q6" s="3729"/>
      <c r="R6" s="3732"/>
      <c r="S6" s="3733"/>
      <c r="T6" s="3734"/>
      <c r="U6" s="3735"/>
      <c r="V6" s="3736"/>
      <c r="W6" s="3736"/>
      <c r="X6" s="1350"/>
      <c r="Y6" s="3734"/>
      <c r="Z6" s="3735"/>
      <c r="AA6" s="3719"/>
      <c r="AB6" s="3719"/>
      <c r="AC6" s="3719"/>
    </row>
    <row r="7" spans="1:29" s="108" customFormat="1" ht="15.75" thickBot="1">
      <c r="A7" s="361" t="s">
        <v>1677</v>
      </c>
      <c r="B7" s="362"/>
      <c r="C7" s="363">
        <f>'数据-取费表'!B2</f>
        <v>45322</v>
      </c>
      <c r="D7" s="364">
        <v>100</v>
      </c>
      <c r="E7" s="365"/>
      <c r="F7" s="366">
        <f>SUMIF(65:65,YEAR(E7)&amp;"-"&amp;INT((MONTH(E7)+2)/3),66:66)</f>
        <v>0</v>
      </c>
      <c r="G7" s="1969"/>
      <c r="H7" s="364">
        <f>SUMIF(65:65,YEAR(G7)&amp;"-"&amp;INT((MONTH(G7)+2)/3),66:66)</f>
        <v>0</v>
      </c>
      <c r="I7" s="1969"/>
      <c r="J7" s="364">
        <f>SUMIF(65:65,YEAR(I7)&amp;"-"&amp;INT((MONTH(I7)+2)/3),66:66)</f>
        <v>0</v>
      </c>
      <c r="K7" s="559"/>
      <c r="L7" s="2712"/>
      <c r="M7" s="2713"/>
      <c r="N7" s="2713"/>
      <c r="O7" s="2713"/>
      <c r="P7" s="3741" t="s">
        <v>1678</v>
      </c>
      <c r="Q7" s="3743"/>
      <c r="R7" s="699" t="s">
        <v>14</v>
      </c>
      <c r="S7" s="700">
        <f t="shared" ref="S7:S15" si="0">F7</f>
        <v>0</v>
      </c>
      <c r="T7" s="699" t="s">
        <v>14</v>
      </c>
      <c r="U7" s="700">
        <f t="shared" ref="U7:U15" si="1">H7</f>
        <v>0</v>
      </c>
      <c r="V7" s="699" t="s">
        <v>14</v>
      </c>
      <c r="W7" s="700">
        <f t="shared" ref="W7:W15" si="2">J7</f>
        <v>0</v>
      </c>
      <c r="X7" s="701"/>
      <c r="Y7" s="3741" t="s">
        <v>1678</v>
      </c>
      <c r="Z7" s="3742"/>
      <c r="AA7" s="702" t="e">
        <f>D7/F7</f>
        <v>#DIV/0!</v>
      </c>
      <c r="AB7" s="702" t="e">
        <f>D7/H7</f>
        <v>#DIV/0!</v>
      </c>
      <c r="AC7" s="702" t="e">
        <f>D7/J7</f>
        <v>#DIV/0!</v>
      </c>
    </row>
    <row r="8" spans="1:29" s="108"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9"/>
      <c r="L8" s="2712"/>
      <c r="M8" s="2713"/>
      <c r="N8" s="2713"/>
      <c r="O8" s="2713"/>
      <c r="P8" s="3741" t="s">
        <v>1681</v>
      </c>
      <c r="Q8" s="3742"/>
      <c r="R8" s="699" t="s">
        <v>14</v>
      </c>
      <c r="S8" s="700">
        <f t="shared" si="0"/>
        <v>0</v>
      </c>
      <c r="T8" s="699" t="s">
        <v>14</v>
      </c>
      <c r="U8" s="700">
        <f t="shared" si="1"/>
        <v>0</v>
      </c>
      <c r="V8" s="699" t="s">
        <v>14</v>
      </c>
      <c r="W8" s="700">
        <f t="shared" si="2"/>
        <v>0</v>
      </c>
      <c r="X8" s="701"/>
      <c r="Y8" s="3741" t="s">
        <v>1681</v>
      </c>
      <c r="Z8" s="3742"/>
      <c r="AA8" s="702" t="e">
        <f t="shared" ref="AA8:AA40" si="3">D8/F8</f>
        <v>#DIV/0!</v>
      </c>
      <c r="AB8" s="702" t="e">
        <f t="shared" ref="AB8:AB40" si="4">D8/H8</f>
        <v>#DIV/0!</v>
      </c>
      <c r="AC8" s="702" t="e">
        <f t="shared" ref="AC8:AC40" si="5">D8/J8</f>
        <v>#DIV/0!</v>
      </c>
    </row>
    <row r="9" spans="1:29" s="108" customFormat="1">
      <c r="A9" s="368" t="s">
        <v>1682</v>
      </c>
      <c r="B9" s="63" t="s">
        <v>1683</v>
      </c>
      <c r="C9" s="1972"/>
      <c r="D9" s="125">
        <v>100</v>
      </c>
      <c r="E9" s="1972"/>
      <c r="F9" s="125">
        <f>SUMIF(70:70,E9,71:71)-SUMIF(70:70,C9,71:71)+100</f>
        <v>100</v>
      </c>
      <c r="G9" s="1972"/>
      <c r="H9" s="125">
        <f>SUMIF(70:70,G9,71:71)-SUMIF(70:70,C9,71:71)+100</f>
        <v>100</v>
      </c>
      <c r="I9" s="1972"/>
      <c r="J9" s="125">
        <f>SUMIF(70:70,I9,71:71)-SUMIF(70:70,C9,71:71)+100</f>
        <v>100</v>
      </c>
      <c r="K9" s="559"/>
      <c r="L9" s="2712"/>
      <c r="M9" s="2713"/>
      <c r="N9" s="2713"/>
      <c r="O9" s="2767"/>
      <c r="P9" s="3705" t="s">
        <v>1684</v>
      </c>
      <c r="Q9" s="1338" t="str">
        <f t="shared" ref="Q9:Q15" si="6">B9</f>
        <v>用途</v>
      </c>
      <c r="R9" s="699" t="s">
        <v>14</v>
      </c>
      <c r="S9" s="700">
        <f t="shared" si="0"/>
        <v>100</v>
      </c>
      <c r="T9" s="699" t="s">
        <v>14</v>
      </c>
      <c r="U9" s="700">
        <f t="shared" si="1"/>
        <v>100</v>
      </c>
      <c r="V9" s="699" t="s">
        <v>14</v>
      </c>
      <c r="W9" s="700">
        <f t="shared" si="2"/>
        <v>100</v>
      </c>
      <c r="X9" s="701"/>
      <c r="Y9" s="3579" t="s">
        <v>1685</v>
      </c>
      <c r="Z9" s="52" t="str">
        <f t="shared" ref="Z9:Z15" si="7">Q9</f>
        <v>用途</v>
      </c>
      <c r="AA9" s="702">
        <f t="shared" si="3"/>
        <v>1</v>
      </c>
      <c r="AB9" s="702">
        <f t="shared" si="4"/>
        <v>1</v>
      </c>
      <c r="AC9" s="702">
        <f t="shared" si="5"/>
        <v>1</v>
      </c>
    </row>
    <row r="10" spans="1:29" s="377" customFormat="1" ht="27">
      <c r="A10" s="373"/>
      <c r="B10" s="374" t="s">
        <v>1686</v>
      </c>
      <c r="C10" s="382"/>
      <c r="D10" s="126">
        <v>100</v>
      </c>
      <c r="E10" s="382"/>
      <c r="F10" s="126">
        <f>ROUND(100/'数据-取费表'!G16,0)</f>
        <v>115</v>
      </c>
      <c r="G10" s="382"/>
      <c r="H10" s="126">
        <f>ROUND(100/'数据-取费表'!G16,0)</f>
        <v>115</v>
      </c>
      <c r="I10" s="382"/>
      <c r="J10" s="126">
        <f>ROUND(100/'数据-取费表'!G16,0)</f>
        <v>115</v>
      </c>
      <c r="K10" s="619"/>
      <c r="L10" s="2714"/>
      <c r="M10" s="2715"/>
      <c r="N10" s="2715"/>
      <c r="O10" s="2768"/>
      <c r="P10" s="3705"/>
      <c r="Q10" s="1338" t="str">
        <f t="shared" si="6"/>
        <v>土地使用年限（年）</v>
      </c>
      <c r="R10" s="699" t="s">
        <v>14</v>
      </c>
      <c r="S10" s="700">
        <f t="shared" si="0"/>
        <v>115</v>
      </c>
      <c r="T10" s="699" t="s">
        <v>14</v>
      </c>
      <c r="U10" s="700">
        <f t="shared" si="1"/>
        <v>115</v>
      </c>
      <c r="V10" s="699" t="s">
        <v>14</v>
      </c>
      <c r="W10" s="700">
        <f t="shared" si="2"/>
        <v>115</v>
      </c>
      <c r="X10" s="701"/>
      <c r="Y10" s="3579"/>
      <c r="Z10" s="52" t="str">
        <f t="shared" si="7"/>
        <v>土地使用年限（年）</v>
      </c>
      <c r="AA10" s="702">
        <f t="shared" si="3"/>
        <v>0.86956521739130432</v>
      </c>
      <c r="AB10" s="702">
        <f t="shared" si="4"/>
        <v>0.86956521739130432</v>
      </c>
      <c r="AC10" s="702">
        <f t="shared" si="5"/>
        <v>0.86956521739130432</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6"/>
      <c r="M11" s="2711"/>
      <c r="N11" s="2711"/>
      <c r="O11" s="2769"/>
      <c r="P11" s="3705"/>
      <c r="Q11" s="1338" t="str">
        <f t="shared" si="6"/>
        <v>容积率</v>
      </c>
      <c r="R11" s="699" t="s">
        <v>14</v>
      </c>
      <c r="S11" s="700" t="e">
        <f t="shared" si="0"/>
        <v>#N/A</v>
      </c>
      <c r="T11" s="699" t="s">
        <v>14</v>
      </c>
      <c r="U11" s="700" t="e">
        <f t="shared" si="1"/>
        <v>#N/A</v>
      </c>
      <c r="V11" s="699" t="s">
        <v>14</v>
      </c>
      <c r="W11" s="700" t="e">
        <f t="shared" si="2"/>
        <v>#N/A</v>
      </c>
      <c r="X11" s="701"/>
      <c r="Y11" s="3579"/>
      <c r="Z11" s="52" t="str">
        <f t="shared" si="7"/>
        <v>容积率</v>
      </c>
      <c r="AA11" s="702" t="e">
        <f t="shared" si="3"/>
        <v>#N/A</v>
      </c>
      <c r="AB11" s="702" t="e">
        <f t="shared" si="4"/>
        <v>#N/A</v>
      </c>
      <c r="AC11" s="702" t="e">
        <f t="shared" si="5"/>
        <v>#N/A</v>
      </c>
    </row>
    <row r="12" spans="1:29" s="108" customFormat="1" ht="15">
      <c r="A12" s="381"/>
      <c r="B12" s="1888">
        <v>111</v>
      </c>
      <c r="C12" s="382"/>
      <c r="D12" s="383">
        <v>100</v>
      </c>
      <c r="E12" s="497"/>
      <c r="F12" s="126">
        <f>SUMIF(77:77,E12,78:78)-SUMIF(77:77,C12,78:78)+100</f>
        <v>100</v>
      </c>
      <c r="G12" s="621"/>
      <c r="H12" s="126">
        <f>SUMIF(77:77,G12,78:78)-SUMIF(77:77,C12,78:78)+100</f>
        <v>100</v>
      </c>
      <c r="I12" s="497"/>
      <c r="J12" s="126">
        <f>SUMIF(77:77,I12,78:78)-SUMIF(77:77,C12,78:78)+100</f>
        <v>100</v>
      </c>
      <c r="K12" s="619"/>
      <c r="L12" s="2712"/>
      <c r="M12" s="2713"/>
      <c r="N12" s="2713"/>
      <c r="O12" s="2767"/>
      <c r="P12" s="3705"/>
      <c r="Q12" s="1338">
        <f t="shared" si="6"/>
        <v>111</v>
      </c>
      <c r="R12" s="699" t="s">
        <v>14</v>
      </c>
      <c r="S12" s="700">
        <f t="shared" si="0"/>
        <v>100</v>
      </c>
      <c r="T12" s="699" t="s">
        <v>14</v>
      </c>
      <c r="U12" s="700">
        <f t="shared" si="1"/>
        <v>100</v>
      </c>
      <c r="V12" s="699" t="s">
        <v>14</v>
      </c>
      <c r="W12" s="700">
        <f t="shared" si="2"/>
        <v>100</v>
      </c>
      <c r="X12" s="701"/>
      <c r="Y12" s="3579"/>
      <c r="Z12" s="52">
        <f t="shared" si="7"/>
        <v>111</v>
      </c>
      <c r="AA12" s="702">
        <f>D12/F12</f>
        <v>1</v>
      </c>
      <c r="AB12" s="702">
        <f>D12/H12</f>
        <v>1</v>
      </c>
      <c r="AC12" s="702">
        <f>D12/J12</f>
        <v>1</v>
      </c>
    </row>
    <row r="13" spans="1:29" ht="15">
      <c r="A13" s="378"/>
      <c r="B13" s="1888">
        <v>111</v>
      </c>
      <c r="C13" s="384"/>
      <c r="D13" s="385">
        <v>100</v>
      </c>
      <c r="E13" s="497"/>
      <c r="F13" s="126">
        <f>SUMIF(79:79,E13,80:80)-SUMIF(79:79,C13,80:80)+100</f>
        <v>100</v>
      </c>
      <c r="G13" s="621"/>
      <c r="H13" s="385">
        <f>SUMIF(79:79,G13,80:80)-SUMIF(79:79,C13,80:80)+100</f>
        <v>100</v>
      </c>
      <c r="I13" s="497"/>
      <c r="J13" s="385">
        <f>SUMIF(79:79,I13,80:80)-SUMIF(79:79,C13,80:80)+100</f>
        <v>100</v>
      </c>
      <c r="K13" s="619"/>
      <c r="L13" s="2717"/>
      <c r="M13" s="2711"/>
      <c r="N13" s="2711"/>
      <c r="O13" s="2769"/>
      <c r="P13" s="3705"/>
      <c r="Q13" s="1338">
        <f t="shared" si="6"/>
        <v>111</v>
      </c>
      <c r="R13" s="699" t="s">
        <v>14</v>
      </c>
      <c r="S13" s="700">
        <f t="shared" si="0"/>
        <v>100</v>
      </c>
      <c r="T13" s="699" t="s">
        <v>14</v>
      </c>
      <c r="U13" s="700">
        <f t="shared" si="1"/>
        <v>100</v>
      </c>
      <c r="V13" s="699" t="s">
        <v>14</v>
      </c>
      <c r="W13" s="700">
        <f t="shared" si="2"/>
        <v>100</v>
      </c>
      <c r="X13" s="701"/>
      <c r="Y13" s="3579"/>
      <c r="Z13" s="52">
        <f t="shared" si="7"/>
        <v>111</v>
      </c>
      <c r="AA13" s="702">
        <f t="shared" si="3"/>
        <v>1</v>
      </c>
      <c r="AB13" s="702">
        <f t="shared" si="4"/>
        <v>1</v>
      </c>
      <c r="AC13" s="702">
        <f t="shared" si="5"/>
        <v>1</v>
      </c>
    </row>
    <row r="14" spans="1:29" ht="15.75" thickBot="1">
      <c r="A14" s="386"/>
      <c r="B14" s="1890">
        <v>111</v>
      </c>
      <c r="C14" s="387"/>
      <c r="D14" s="388">
        <v>100</v>
      </c>
      <c r="E14" s="497"/>
      <c r="F14" s="388">
        <f>SUMIF(81:81,E14,82:82)-SUMIF(81:81,C14,82:82)+100</f>
        <v>100</v>
      </c>
      <c r="G14" s="621"/>
      <c r="H14" s="388">
        <f>SUMIF(81:81,G14,82:82)-SUMIF(81:81,C14,82:82)+100</f>
        <v>100</v>
      </c>
      <c r="I14" s="497"/>
      <c r="J14" s="388">
        <f>SUMIF(81:81,I14,82:82)-SUMIF(81:81,C14,82:82)+100</f>
        <v>100</v>
      </c>
      <c r="K14" s="619"/>
      <c r="L14" s="2717"/>
      <c r="M14" s="2711"/>
      <c r="N14" s="2711"/>
      <c r="O14" s="2769"/>
      <c r="P14" s="3705"/>
      <c r="Q14" s="1338">
        <f t="shared" si="6"/>
        <v>111</v>
      </c>
      <c r="R14" s="699" t="s">
        <v>14</v>
      </c>
      <c r="S14" s="700">
        <f t="shared" si="0"/>
        <v>100</v>
      </c>
      <c r="T14" s="699" t="s">
        <v>14</v>
      </c>
      <c r="U14" s="700">
        <f t="shared" si="1"/>
        <v>100</v>
      </c>
      <c r="V14" s="699" t="s">
        <v>14</v>
      </c>
      <c r="W14" s="700">
        <f t="shared" si="2"/>
        <v>100</v>
      </c>
      <c r="X14" s="701"/>
      <c r="Y14" s="3579"/>
      <c r="Z14" s="52">
        <f t="shared" si="7"/>
        <v>111</v>
      </c>
      <c r="AA14" s="702">
        <f t="shared" si="3"/>
        <v>1</v>
      </c>
      <c r="AB14" s="702">
        <f t="shared" si="4"/>
        <v>1</v>
      </c>
      <c r="AC14" s="702">
        <f t="shared" si="5"/>
        <v>1</v>
      </c>
    </row>
    <row r="15" spans="1:29" ht="57">
      <c r="A15" s="390" t="s">
        <v>1688</v>
      </c>
      <c r="B15" s="576" t="s">
        <v>1917</v>
      </c>
      <c r="C15" s="1966"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7"/>
      <c r="M15" s="2711"/>
      <c r="N15" s="2711"/>
      <c r="O15" s="2769"/>
      <c r="P15" s="3707" t="s">
        <v>1689</v>
      </c>
      <c r="Q15" s="1347" t="str">
        <f t="shared" si="6"/>
        <v>产业集聚程度</v>
      </c>
      <c r="R15" s="703" t="s">
        <v>14</v>
      </c>
      <c r="S15" s="704">
        <f t="shared" si="0"/>
        <v>100</v>
      </c>
      <c r="T15" s="703" t="s">
        <v>14</v>
      </c>
      <c r="U15" s="704">
        <f t="shared" si="1"/>
        <v>100</v>
      </c>
      <c r="V15" s="703" t="s">
        <v>14</v>
      </c>
      <c r="W15" s="704">
        <f t="shared" si="2"/>
        <v>100</v>
      </c>
      <c r="X15" s="1350"/>
      <c r="Y15" s="3707" t="s">
        <v>1689</v>
      </c>
      <c r="Z15" s="1351" t="str">
        <f t="shared" si="7"/>
        <v>产业集聚程度</v>
      </c>
      <c r="AA15" s="1348">
        <f t="shared" si="3"/>
        <v>1</v>
      </c>
      <c r="AB15" s="1348">
        <f t="shared" si="4"/>
        <v>1</v>
      </c>
      <c r="AC15" s="1348">
        <f t="shared" si="5"/>
        <v>1</v>
      </c>
    </row>
    <row r="16" spans="1:29" ht="15">
      <c r="A16" s="378"/>
      <c r="B16" s="577"/>
      <c r="C16" s="397"/>
      <c r="D16" s="398"/>
      <c r="E16" s="1899"/>
      <c r="F16" s="398"/>
      <c r="G16" s="1899"/>
      <c r="H16" s="400"/>
      <c r="I16" s="1899"/>
      <c r="J16" s="398"/>
      <c r="K16" s="619"/>
      <c r="L16" s="2717"/>
      <c r="M16" s="2711"/>
      <c r="N16" s="2711"/>
      <c r="O16" s="2769"/>
      <c r="P16" s="3708"/>
      <c r="Q16" s="1347"/>
      <c r="R16" s="703"/>
      <c r="S16" s="704"/>
      <c r="T16" s="703"/>
      <c r="U16" s="704"/>
      <c r="V16" s="703"/>
      <c r="W16" s="704"/>
      <c r="X16" s="1350"/>
      <c r="Y16" s="3708"/>
      <c r="Z16" s="1351"/>
      <c r="AA16" s="1348">
        <v>1</v>
      </c>
      <c r="AB16" s="1348">
        <v>1</v>
      </c>
      <c r="AC16" s="1348">
        <v>1</v>
      </c>
    </row>
    <row r="17" spans="1:29" ht="85.5">
      <c r="A17" s="378"/>
      <c r="B17" s="578" t="s">
        <v>1831</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7"/>
      <c r="M17" s="2711"/>
      <c r="N17" s="2711"/>
      <c r="O17" s="2769"/>
      <c r="P17" s="3708"/>
      <c r="Q17" s="1347" t="str">
        <f>B17</f>
        <v>交通便捷度</v>
      </c>
      <c r="R17" s="703" t="s">
        <v>14</v>
      </c>
      <c r="S17" s="704">
        <f>F17</f>
        <v>100</v>
      </c>
      <c r="T17" s="703" t="s">
        <v>14</v>
      </c>
      <c r="U17" s="704">
        <f>H17</f>
        <v>100</v>
      </c>
      <c r="V17" s="703" t="s">
        <v>14</v>
      </c>
      <c r="W17" s="704">
        <f>J17</f>
        <v>100</v>
      </c>
      <c r="X17" s="1350"/>
      <c r="Y17" s="3708"/>
      <c r="Z17" s="1351" t="str">
        <f>Q17</f>
        <v>交通便捷度</v>
      </c>
      <c r="AA17" s="1348">
        <f t="shared" si="3"/>
        <v>1</v>
      </c>
      <c r="AB17" s="1348">
        <f t="shared" si="4"/>
        <v>1</v>
      </c>
      <c r="AC17" s="1348">
        <f t="shared" si="5"/>
        <v>1</v>
      </c>
    </row>
    <row r="18" spans="1:29" ht="15">
      <c r="A18" s="378"/>
      <c r="B18" s="579"/>
      <c r="C18" s="397"/>
      <c r="D18" s="398"/>
      <c r="E18" s="1893"/>
      <c r="F18" s="398"/>
      <c r="G18" s="1893"/>
      <c r="H18" s="398"/>
      <c r="I18" s="1892"/>
      <c r="J18" s="398"/>
      <c r="K18" s="619"/>
      <c r="L18" s="2717"/>
      <c r="M18" s="2711"/>
      <c r="N18" s="2711"/>
      <c r="O18" s="2769"/>
      <c r="P18" s="3708"/>
      <c r="Q18" s="1347"/>
      <c r="R18" s="703"/>
      <c r="S18" s="704"/>
      <c r="T18" s="703"/>
      <c r="U18" s="704"/>
      <c r="V18" s="703"/>
      <c r="W18" s="704"/>
      <c r="X18" s="1350"/>
      <c r="Y18" s="3708"/>
      <c r="Z18" s="1351"/>
      <c r="AA18" s="1348">
        <v>1</v>
      </c>
      <c r="AB18" s="1348">
        <v>1</v>
      </c>
      <c r="AC18" s="1348">
        <v>1</v>
      </c>
    </row>
    <row r="19" spans="1:29" ht="15">
      <c r="A19" s="378"/>
      <c r="B19" s="578" t="s">
        <v>1868</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7"/>
      <c r="M19" s="2711"/>
      <c r="N19" s="2711"/>
      <c r="O19" s="2769"/>
      <c r="P19" s="3708"/>
      <c r="Q19" s="1347" t="str">
        <f t="shared" ref="Q19:Q33" si="8">B19</f>
        <v>区域土地利用方向</v>
      </c>
      <c r="R19" s="703" t="s">
        <v>14</v>
      </c>
      <c r="S19" s="704">
        <f>F19</f>
        <v>100</v>
      </c>
      <c r="T19" s="703" t="s">
        <v>14</v>
      </c>
      <c r="U19" s="704">
        <f>H19</f>
        <v>100</v>
      </c>
      <c r="V19" s="703" t="s">
        <v>14</v>
      </c>
      <c r="W19" s="704">
        <f>J19</f>
        <v>100</v>
      </c>
      <c r="X19" s="1350"/>
      <c r="Y19" s="3708"/>
      <c r="Z19" s="1351" t="str">
        <f>Q19</f>
        <v>区域土地利用方向</v>
      </c>
      <c r="AA19" s="1348">
        <f t="shared" si="3"/>
        <v>1</v>
      </c>
      <c r="AB19" s="1348">
        <f t="shared" si="4"/>
        <v>1</v>
      </c>
      <c r="AC19" s="1348">
        <f t="shared" si="5"/>
        <v>1</v>
      </c>
    </row>
    <row r="20" spans="1:29" ht="15">
      <c r="A20" s="357"/>
      <c r="B20" s="579"/>
      <c r="C20" s="397"/>
      <c r="D20" s="398"/>
      <c r="E20" s="1893"/>
      <c r="F20" s="398"/>
      <c r="G20" s="1893"/>
      <c r="H20" s="398"/>
      <c r="I20" s="1893"/>
      <c r="J20" s="398"/>
      <c r="K20" s="738"/>
      <c r="L20" s="2717"/>
      <c r="M20" s="2711"/>
      <c r="N20" s="2711"/>
      <c r="O20" s="2769"/>
      <c r="P20" s="3708"/>
      <c r="Q20" s="1347"/>
      <c r="R20" s="703"/>
      <c r="S20" s="704"/>
      <c r="T20" s="703"/>
      <c r="U20" s="704"/>
      <c r="V20" s="703"/>
      <c r="W20" s="704"/>
      <c r="X20" s="1350"/>
      <c r="Y20" s="3708"/>
      <c r="Z20" s="1351"/>
      <c r="AA20" s="1348"/>
      <c r="AB20" s="1348"/>
      <c r="AC20" s="1348"/>
    </row>
    <row r="21" spans="1:29" ht="71.25">
      <c r="A21" s="357"/>
      <c r="B21" s="578" t="s">
        <v>1918</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7"/>
      <c r="M21" s="2711"/>
      <c r="N21" s="2711"/>
      <c r="O21" s="2769"/>
      <c r="P21" s="3708"/>
      <c r="Q21" s="1347" t="str">
        <f t="shared" si="8"/>
        <v>环境状况</v>
      </c>
      <c r="R21" s="703" t="s">
        <v>14</v>
      </c>
      <c r="S21" s="704">
        <f>F21</f>
        <v>100</v>
      </c>
      <c r="T21" s="703" t="s">
        <v>14</v>
      </c>
      <c r="U21" s="704">
        <f>H21</f>
        <v>100</v>
      </c>
      <c r="V21" s="703" t="s">
        <v>14</v>
      </c>
      <c r="W21" s="704">
        <f>J21</f>
        <v>100</v>
      </c>
      <c r="X21" s="1350"/>
      <c r="Y21" s="3708"/>
      <c r="Z21" s="1351" t="str">
        <f>Q21</f>
        <v>环境状况</v>
      </c>
      <c r="AA21" s="1348">
        <f t="shared" si="3"/>
        <v>1</v>
      </c>
      <c r="AB21" s="1348">
        <f t="shared" si="4"/>
        <v>1</v>
      </c>
      <c r="AC21" s="1348">
        <f t="shared" si="5"/>
        <v>1</v>
      </c>
    </row>
    <row r="22" spans="1:29" ht="15">
      <c r="A22" s="357"/>
      <c r="B22" s="579"/>
      <c r="C22" s="397"/>
      <c r="D22" s="398"/>
      <c r="E22" s="1899"/>
      <c r="F22" s="398"/>
      <c r="G22" s="1899"/>
      <c r="H22" s="398"/>
      <c r="I22" s="397"/>
      <c r="J22" s="398"/>
      <c r="K22" s="619"/>
      <c r="L22" s="2717"/>
      <c r="M22" s="2711"/>
      <c r="N22" s="2711"/>
      <c r="O22" s="2769"/>
      <c r="P22" s="3708"/>
      <c r="Q22" s="1347"/>
      <c r="R22" s="703"/>
      <c r="S22" s="704"/>
      <c r="T22" s="703"/>
      <c r="U22" s="704"/>
      <c r="V22" s="703"/>
      <c r="W22" s="704"/>
      <c r="X22" s="1350"/>
      <c r="Y22" s="3708"/>
      <c r="Z22" s="1351"/>
      <c r="AA22" s="1348">
        <v>1</v>
      </c>
      <c r="AB22" s="1348">
        <v>1</v>
      </c>
      <c r="AC22" s="1348">
        <v>1</v>
      </c>
    </row>
    <row r="23" spans="1:29" s="108" customFormat="1" ht="42.75">
      <c r="A23" s="596"/>
      <c r="B23" s="580" t="s">
        <v>1776</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2"/>
      <c r="M23" s="2713"/>
      <c r="N23" s="2713"/>
      <c r="O23" s="2767"/>
      <c r="P23" s="3708"/>
      <c r="Q23" s="1338" t="str">
        <f t="shared" si="8"/>
        <v>公共配套设施</v>
      </c>
      <c r="R23" s="699" t="s">
        <v>14</v>
      </c>
      <c r="S23" s="700">
        <f>F23</f>
        <v>100</v>
      </c>
      <c r="T23" s="699" t="s">
        <v>14</v>
      </c>
      <c r="U23" s="700">
        <f>H23</f>
        <v>100</v>
      </c>
      <c r="V23" s="699" t="s">
        <v>14</v>
      </c>
      <c r="W23" s="700">
        <f>J23</f>
        <v>100</v>
      </c>
      <c r="X23" s="701"/>
      <c r="Y23" s="3708"/>
      <c r="Z23" s="52" t="str">
        <f>Q23</f>
        <v>公共配套设施</v>
      </c>
      <c r="AA23" s="1348">
        <f>D23/F23</f>
        <v>1</v>
      </c>
      <c r="AB23" s="1348">
        <f>D23/H23</f>
        <v>1</v>
      </c>
      <c r="AC23" s="1348">
        <f>D23/J23</f>
        <v>1</v>
      </c>
    </row>
    <row r="24" spans="1:29" s="108" customFormat="1" ht="15">
      <c r="A24" s="596"/>
      <c r="B24" s="579"/>
      <c r="C24" s="1973"/>
      <c r="D24" s="398"/>
      <c r="E24" s="1899"/>
      <c r="F24" s="398"/>
      <c r="G24" s="1899"/>
      <c r="H24" s="398"/>
      <c r="I24" s="397"/>
      <c r="J24" s="398"/>
      <c r="K24" s="619"/>
      <c r="L24" s="2712"/>
      <c r="M24" s="2713"/>
      <c r="N24" s="2713"/>
      <c r="O24" s="2767"/>
      <c r="P24" s="3708"/>
      <c r="Q24" s="1338"/>
      <c r="R24" s="699"/>
      <c r="S24" s="700"/>
      <c r="T24" s="699"/>
      <c r="U24" s="700"/>
      <c r="V24" s="699"/>
      <c r="W24" s="700"/>
      <c r="X24" s="701"/>
      <c r="Y24" s="3708"/>
      <c r="Z24" s="52"/>
      <c r="AA24" s="702">
        <v>1</v>
      </c>
      <c r="AB24" s="702">
        <v>1</v>
      </c>
      <c r="AC24" s="702">
        <v>1</v>
      </c>
    </row>
    <row r="25" spans="1:29" s="108" customFormat="1" ht="28.5">
      <c r="A25" s="596"/>
      <c r="B25" s="580" t="s">
        <v>1777</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2"/>
      <c r="M25" s="2713"/>
      <c r="N25" s="2713"/>
      <c r="O25" s="2767"/>
      <c r="P25" s="3708"/>
      <c r="Q25" s="1338" t="str">
        <f t="shared" ref="Q25" si="9">B25</f>
        <v>基础设施水平</v>
      </c>
      <c r="R25" s="699" t="s">
        <v>14</v>
      </c>
      <c r="S25" s="700">
        <f>F25</f>
        <v>100</v>
      </c>
      <c r="T25" s="699" t="s">
        <v>14</v>
      </c>
      <c r="U25" s="700">
        <f>H25</f>
        <v>100</v>
      </c>
      <c r="V25" s="699" t="s">
        <v>14</v>
      </c>
      <c r="W25" s="700">
        <f>J25</f>
        <v>100</v>
      </c>
      <c r="X25" s="701"/>
      <c r="Y25" s="3708"/>
      <c r="Z25" s="52" t="str">
        <f>Q25</f>
        <v>基础设施水平</v>
      </c>
      <c r="AA25" s="1348">
        <f>D25/F25</f>
        <v>1</v>
      </c>
      <c r="AB25" s="1348">
        <f>D25/H25</f>
        <v>1</v>
      </c>
      <c r="AC25" s="1348">
        <f>D25/J25</f>
        <v>1</v>
      </c>
    </row>
    <row r="26" spans="1:29" s="108" customFormat="1" ht="15">
      <c r="A26" s="596"/>
      <c r="B26" s="579"/>
      <c r="C26" s="1973"/>
      <c r="D26" s="398"/>
      <c r="E26" s="1974"/>
      <c r="F26" s="398"/>
      <c r="G26" s="1974"/>
      <c r="H26" s="398"/>
      <c r="I26" s="1974"/>
      <c r="J26" s="398"/>
      <c r="K26" s="619"/>
      <c r="L26" s="2712"/>
      <c r="M26" s="2713"/>
      <c r="N26" s="2713"/>
      <c r="O26" s="2767"/>
      <c r="P26" s="3708"/>
      <c r="Q26" s="1338"/>
      <c r="R26" s="699"/>
      <c r="S26" s="700"/>
      <c r="T26" s="699"/>
      <c r="U26" s="700"/>
      <c r="V26" s="699"/>
      <c r="W26" s="700"/>
      <c r="X26" s="701"/>
      <c r="Y26" s="3708"/>
      <c r="Z26" s="52"/>
      <c r="AA26" s="702">
        <v>1</v>
      </c>
      <c r="AB26" s="702">
        <v>1</v>
      </c>
      <c r="AC26" s="702">
        <v>1</v>
      </c>
    </row>
    <row r="27" spans="1:29" ht="15">
      <c r="A27" s="378"/>
      <c r="B27" s="579" t="s">
        <v>1778</v>
      </c>
      <c r="C27" s="564"/>
      <c r="D27" s="385">
        <v>100</v>
      </c>
      <c r="E27" s="581"/>
      <c r="F27" s="385">
        <f>SUMIF(95:95,E27,96:96)-SUMIF(95:95,C27,96:96)+100</f>
        <v>100</v>
      </c>
      <c r="G27" s="581"/>
      <c r="H27" s="385">
        <f>SUMIF(95:95,G27,96:96)-SUMIF(95:95,C27,96:96)+100</f>
        <v>100</v>
      </c>
      <c r="I27" s="581"/>
      <c r="J27" s="385">
        <f>SUMIF(95:95,I27,96:96)-SUMIF(95:95,C27,96:96)+100</f>
        <v>100</v>
      </c>
      <c r="K27" s="620"/>
      <c r="L27" s="2717"/>
      <c r="M27" s="2711"/>
      <c r="N27" s="2711"/>
      <c r="O27" s="2769"/>
      <c r="P27" s="3708"/>
      <c r="Q27" s="1347" t="str">
        <f t="shared" si="8"/>
        <v>临街状况</v>
      </c>
      <c r="R27" s="703" t="s">
        <v>14</v>
      </c>
      <c r="S27" s="704">
        <f t="shared" ref="S27:S40" si="10">F27</f>
        <v>100</v>
      </c>
      <c r="T27" s="703" t="s">
        <v>14</v>
      </c>
      <c r="U27" s="704">
        <f t="shared" ref="U27:U40" si="11">H27</f>
        <v>100</v>
      </c>
      <c r="V27" s="703" t="s">
        <v>14</v>
      </c>
      <c r="W27" s="704">
        <f t="shared" ref="W27:W40" si="12">J27</f>
        <v>100</v>
      </c>
      <c r="X27" s="1350"/>
      <c r="Y27" s="3708"/>
      <c r="Z27" s="1351" t="str">
        <f t="shared" ref="Z27:Z40" si="13">Q27</f>
        <v>临街状况</v>
      </c>
      <c r="AA27" s="1348">
        <f t="shared" si="3"/>
        <v>1</v>
      </c>
      <c r="AB27" s="1348">
        <f t="shared" si="4"/>
        <v>1</v>
      </c>
      <c r="AC27" s="1348">
        <f t="shared" si="5"/>
        <v>1</v>
      </c>
    </row>
    <row r="28" spans="1:29" ht="27">
      <c r="A28" s="378"/>
      <c r="B28" s="580" t="s">
        <v>1813</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7"/>
      <c r="M28" s="2711"/>
      <c r="N28" s="2711"/>
      <c r="O28" s="2769"/>
      <c r="P28" s="3708"/>
      <c r="Q28" s="1347" t="str">
        <f t="shared" si="8"/>
        <v>毗邻道路的类型与等级</v>
      </c>
      <c r="R28" s="703" t="s">
        <v>14</v>
      </c>
      <c r="S28" s="704">
        <f t="shared" si="10"/>
        <v>100</v>
      </c>
      <c r="T28" s="703" t="s">
        <v>14</v>
      </c>
      <c r="U28" s="704">
        <f t="shared" si="11"/>
        <v>100</v>
      </c>
      <c r="V28" s="703" t="s">
        <v>14</v>
      </c>
      <c r="W28" s="704">
        <f t="shared" si="12"/>
        <v>100</v>
      </c>
      <c r="X28" s="1350"/>
      <c r="Y28" s="3708"/>
      <c r="Z28" s="1351" t="str">
        <f t="shared" si="13"/>
        <v>毗邻道路的类型与等级</v>
      </c>
      <c r="AA28" s="1348">
        <f t="shared" si="3"/>
        <v>1</v>
      </c>
      <c r="AB28" s="1348">
        <f t="shared" si="4"/>
        <v>1</v>
      </c>
      <c r="AC28" s="1348">
        <f t="shared" si="5"/>
        <v>1</v>
      </c>
    </row>
    <row r="29" spans="1:29" ht="15">
      <c r="A29" s="378"/>
      <c r="B29" s="579"/>
      <c r="C29" s="397"/>
      <c r="D29" s="398"/>
      <c r="E29" s="1899"/>
      <c r="F29" s="398"/>
      <c r="G29" s="1899"/>
      <c r="H29" s="398"/>
      <c r="I29" s="1899"/>
      <c r="J29" s="398"/>
      <c r="K29" s="561"/>
      <c r="L29" s="2717"/>
      <c r="M29" s="2711"/>
      <c r="N29" s="2711"/>
      <c r="O29" s="2769"/>
      <c r="P29" s="3708"/>
      <c r="Q29" s="1347"/>
      <c r="R29" s="703"/>
      <c r="S29" s="704"/>
      <c r="T29" s="703"/>
      <c r="U29" s="704"/>
      <c r="V29" s="703"/>
      <c r="W29" s="704"/>
      <c r="X29" s="1350"/>
      <c r="Y29" s="3708"/>
      <c r="Z29" s="1351"/>
      <c r="AA29" s="1348">
        <v>1</v>
      </c>
      <c r="AB29" s="1348">
        <v>1</v>
      </c>
      <c r="AC29" s="1348">
        <v>1</v>
      </c>
    </row>
    <row r="30" spans="1:29" ht="15">
      <c r="A30" s="378"/>
      <c r="B30" s="601" t="s">
        <v>1870</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7"/>
      <c r="M30" s="2711"/>
      <c r="N30" s="2711"/>
      <c r="O30" s="2769"/>
      <c r="P30" s="3708"/>
      <c r="Q30" s="1347" t="str">
        <f t="shared" si="8"/>
        <v>土地级别</v>
      </c>
      <c r="R30" s="703" t="s">
        <v>14</v>
      </c>
      <c r="S30" s="704">
        <f t="shared" si="10"/>
        <v>100</v>
      </c>
      <c r="T30" s="703" t="s">
        <v>14</v>
      </c>
      <c r="U30" s="704">
        <f t="shared" si="11"/>
        <v>100</v>
      </c>
      <c r="V30" s="703" t="s">
        <v>14</v>
      </c>
      <c r="W30" s="704">
        <f t="shared" si="12"/>
        <v>100</v>
      </c>
      <c r="X30" s="1350"/>
      <c r="Y30" s="3708"/>
      <c r="Z30" s="1351" t="str">
        <f t="shared" si="13"/>
        <v>土地级别</v>
      </c>
      <c r="AA30" s="1348">
        <f t="shared" si="3"/>
        <v>1</v>
      </c>
      <c r="AB30" s="1348">
        <f t="shared" si="4"/>
        <v>1</v>
      </c>
      <c r="AC30" s="1348">
        <f t="shared" si="5"/>
        <v>1</v>
      </c>
    </row>
    <row r="31" spans="1:29" ht="15">
      <c r="A31" s="357"/>
      <c r="B31" s="1961">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7"/>
      <c r="M31" s="2711"/>
      <c r="N31" s="2711"/>
      <c r="O31" s="2769"/>
      <c r="P31" s="3708"/>
      <c r="Q31" s="1347">
        <f t="shared" si="8"/>
        <v>111</v>
      </c>
      <c r="R31" s="703" t="s">
        <v>14</v>
      </c>
      <c r="S31" s="704">
        <f t="shared" si="10"/>
        <v>100</v>
      </c>
      <c r="T31" s="703" t="s">
        <v>14</v>
      </c>
      <c r="U31" s="704">
        <f t="shared" si="11"/>
        <v>100</v>
      </c>
      <c r="V31" s="703" t="s">
        <v>14</v>
      </c>
      <c r="W31" s="704">
        <f t="shared" si="12"/>
        <v>100</v>
      </c>
      <c r="X31" s="1350"/>
      <c r="Y31" s="3708"/>
      <c r="Z31" s="1351">
        <f t="shared" si="13"/>
        <v>111</v>
      </c>
      <c r="AA31" s="1348">
        <f t="shared" si="3"/>
        <v>1</v>
      </c>
      <c r="AB31" s="1348">
        <f t="shared" si="4"/>
        <v>1</v>
      </c>
      <c r="AC31" s="1348">
        <f t="shared" si="5"/>
        <v>1</v>
      </c>
    </row>
    <row r="32" spans="1:29" ht="15">
      <c r="A32" s="622"/>
      <c r="B32" s="1987">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7"/>
      <c r="M32" s="2711"/>
      <c r="N32" s="2711"/>
      <c r="O32" s="2769"/>
      <c r="P32" s="3763" t="s">
        <v>1694</v>
      </c>
      <c r="Q32" s="1347">
        <f t="shared" si="8"/>
        <v>111</v>
      </c>
      <c r="R32" s="703" t="s">
        <v>14</v>
      </c>
      <c r="S32" s="704">
        <f t="shared" si="10"/>
        <v>100</v>
      </c>
      <c r="T32" s="703" t="s">
        <v>14</v>
      </c>
      <c r="U32" s="704">
        <f t="shared" si="11"/>
        <v>100</v>
      </c>
      <c r="V32" s="703" t="s">
        <v>14</v>
      </c>
      <c r="W32" s="704">
        <f t="shared" si="12"/>
        <v>100</v>
      </c>
      <c r="X32" s="1350"/>
      <c r="Y32" s="3712" t="s">
        <v>1694</v>
      </c>
      <c r="Z32" s="1351">
        <f t="shared" si="13"/>
        <v>111</v>
      </c>
      <c r="AA32" s="1348">
        <f t="shared" si="3"/>
        <v>1</v>
      </c>
      <c r="AB32" s="1348">
        <f t="shared" si="4"/>
        <v>1</v>
      </c>
      <c r="AC32" s="1348">
        <f t="shared" si="5"/>
        <v>1</v>
      </c>
    </row>
    <row r="33" spans="1:31" s="421" customFormat="1" ht="15.75" thickBot="1">
      <c r="A33" s="623"/>
      <c r="B33" s="1988">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6"/>
      <c r="M33" s="2718"/>
      <c r="N33" s="2718"/>
      <c r="O33" s="2770"/>
      <c r="P33" s="3712"/>
      <c r="Q33" s="1347">
        <f t="shared" si="8"/>
        <v>111</v>
      </c>
      <c r="R33" s="706" t="s">
        <v>14</v>
      </c>
      <c r="S33" s="707">
        <f t="shared" si="10"/>
        <v>100</v>
      </c>
      <c r="T33" s="706" t="s">
        <v>14</v>
      </c>
      <c r="U33" s="707">
        <f t="shared" si="11"/>
        <v>100</v>
      </c>
      <c r="V33" s="706" t="s">
        <v>14</v>
      </c>
      <c r="W33" s="707">
        <f t="shared" si="12"/>
        <v>100</v>
      </c>
      <c r="X33" s="708"/>
      <c r="Y33" s="3712"/>
      <c r="Z33" s="709">
        <f t="shared" si="13"/>
        <v>111</v>
      </c>
      <c r="AA33" s="1348">
        <f t="shared" si="3"/>
        <v>1</v>
      </c>
      <c r="AB33" s="1348">
        <f t="shared" si="4"/>
        <v>1</v>
      </c>
      <c r="AC33" s="1348">
        <f t="shared" si="5"/>
        <v>1</v>
      </c>
    </row>
    <row r="34" spans="1:31" ht="15">
      <c r="A34" s="390" t="s">
        <v>1692</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7"/>
      <c r="M34" s="2711"/>
      <c r="N34" s="2711"/>
      <c r="O34" s="2769"/>
      <c r="P34" s="3712"/>
      <c r="Q34" s="1347" t="str">
        <f>B34</f>
        <v>宗地面积</v>
      </c>
      <c r="R34" s="703" t="s">
        <v>14</v>
      </c>
      <c r="S34" s="704" t="e">
        <f t="shared" si="10"/>
        <v>#N/A</v>
      </c>
      <c r="T34" s="703" t="s">
        <v>14</v>
      </c>
      <c r="U34" s="704" t="e">
        <f t="shared" si="11"/>
        <v>#N/A</v>
      </c>
      <c r="V34" s="703" t="s">
        <v>14</v>
      </c>
      <c r="W34" s="704" t="e">
        <f t="shared" si="12"/>
        <v>#N/A</v>
      </c>
      <c r="X34" s="1350"/>
      <c r="Y34" s="3712"/>
      <c r="Z34" s="1351" t="str">
        <f t="shared" si="13"/>
        <v>宗地面积</v>
      </c>
      <c r="AA34" s="1348" t="e">
        <f t="shared" si="3"/>
        <v>#N/A</v>
      </c>
      <c r="AB34" s="1348" t="e">
        <f t="shared" si="4"/>
        <v>#N/A</v>
      </c>
      <c r="AC34" s="1348" t="e">
        <f t="shared" si="5"/>
        <v>#N/A</v>
      </c>
    </row>
    <row r="35" spans="1:31" ht="15">
      <c r="A35" s="422"/>
      <c r="B35" s="374" t="s">
        <v>1872</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60"/>
      <c r="L35" s="2717"/>
      <c r="M35" s="2711"/>
      <c r="N35" s="2711"/>
      <c r="O35" s="2769"/>
      <c r="P35" s="3712"/>
      <c r="Q35" s="1347" t="str">
        <f t="shared" ref="Q35:Q40" si="14">B35</f>
        <v>宗地形状</v>
      </c>
      <c r="R35" s="703" t="s">
        <v>14</v>
      </c>
      <c r="S35" s="704">
        <f t="shared" si="10"/>
        <v>100</v>
      </c>
      <c r="T35" s="703" t="s">
        <v>14</v>
      </c>
      <c r="U35" s="704">
        <f t="shared" si="11"/>
        <v>100</v>
      </c>
      <c r="V35" s="703" t="s">
        <v>14</v>
      </c>
      <c r="W35" s="704">
        <f t="shared" si="12"/>
        <v>100</v>
      </c>
      <c r="X35" s="1350"/>
      <c r="Y35" s="3712"/>
      <c r="Z35" s="1351" t="str">
        <f t="shared" si="13"/>
        <v>宗地形状</v>
      </c>
      <c r="AA35" s="1348">
        <f t="shared" si="3"/>
        <v>1</v>
      </c>
      <c r="AB35" s="1348">
        <f t="shared" si="4"/>
        <v>1</v>
      </c>
      <c r="AC35" s="1348">
        <f t="shared" si="5"/>
        <v>1</v>
      </c>
    </row>
    <row r="36" spans="1:31" s="108" customFormat="1" ht="15">
      <c r="A36" s="423"/>
      <c r="B36" s="374" t="s">
        <v>1874</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12"/>
      <c r="M36" s="2713"/>
      <c r="N36" s="2713"/>
      <c r="O36" s="2767"/>
      <c r="P36" s="3712"/>
      <c r="Q36" s="1347" t="str">
        <f t="shared" si="14"/>
        <v>宗地开发程度</v>
      </c>
      <c r="R36" s="699" t="s">
        <v>14</v>
      </c>
      <c r="S36" s="700">
        <f t="shared" si="10"/>
        <v>100</v>
      </c>
      <c r="T36" s="699" t="s">
        <v>14</v>
      </c>
      <c r="U36" s="700">
        <f t="shared" si="11"/>
        <v>100</v>
      </c>
      <c r="V36" s="699" t="s">
        <v>14</v>
      </c>
      <c r="W36" s="700">
        <f t="shared" si="12"/>
        <v>100</v>
      </c>
      <c r="X36" s="701"/>
      <c r="Y36" s="3712"/>
      <c r="Z36" s="52" t="str">
        <f t="shared" si="13"/>
        <v>宗地开发程度</v>
      </c>
      <c r="AA36" s="702">
        <f t="shared" si="3"/>
        <v>1</v>
      </c>
      <c r="AB36" s="702">
        <f t="shared" si="4"/>
        <v>1</v>
      </c>
      <c r="AC36" s="702">
        <f t="shared" si="5"/>
        <v>1</v>
      </c>
    </row>
    <row r="37" spans="1:31" ht="15">
      <c r="A37" s="422"/>
      <c r="B37" s="374" t="s">
        <v>1875</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60"/>
      <c r="L37" s="2717"/>
      <c r="M37" s="2711"/>
      <c r="N37" s="2711"/>
      <c r="O37" s="2769"/>
      <c r="P37" s="3712" t="s">
        <v>1694</v>
      </c>
      <c r="Q37" s="1347" t="str">
        <f t="shared" si="14"/>
        <v>工程地质条件</v>
      </c>
      <c r="R37" s="703" t="s">
        <v>14</v>
      </c>
      <c r="S37" s="704">
        <f t="shared" si="10"/>
        <v>100</v>
      </c>
      <c r="T37" s="703" t="s">
        <v>14</v>
      </c>
      <c r="U37" s="704">
        <f t="shared" si="11"/>
        <v>100</v>
      </c>
      <c r="V37" s="703" t="s">
        <v>14</v>
      </c>
      <c r="W37" s="704">
        <f t="shared" si="12"/>
        <v>100</v>
      </c>
      <c r="X37" s="1350"/>
      <c r="Y37" s="3712" t="s">
        <v>1694</v>
      </c>
      <c r="Z37" s="1351" t="str">
        <f t="shared" si="13"/>
        <v>工程地质条件</v>
      </c>
      <c r="AA37" s="1348">
        <f t="shared" si="3"/>
        <v>1</v>
      </c>
      <c r="AB37" s="1348">
        <f t="shared" si="4"/>
        <v>1</v>
      </c>
      <c r="AC37" s="1348">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7"/>
      <c r="M38" s="2711"/>
      <c r="N38" s="2711"/>
      <c r="O38" s="2769"/>
      <c r="P38" s="3712"/>
      <c r="Q38" s="1347">
        <f t="shared" si="14"/>
        <v>111</v>
      </c>
      <c r="R38" s="703" t="s">
        <v>14</v>
      </c>
      <c r="S38" s="704">
        <f t="shared" si="10"/>
        <v>100</v>
      </c>
      <c r="T38" s="703" t="s">
        <v>14</v>
      </c>
      <c r="U38" s="704">
        <f t="shared" si="11"/>
        <v>100</v>
      </c>
      <c r="V38" s="703" t="s">
        <v>14</v>
      </c>
      <c r="W38" s="704">
        <f t="shared" si="12"/>
        <v>100</v>
      </c>
      <c r="X38" s="1350"/>
      <c r="Y38" s="3712"/>
      <c r="Z38" s="1351">
        <f t="shared" si="13"/>
        <v>111</v>
      </c>
      <c r="AA38" s="1348">
        <f t="shared" si="3"/>
        <v>1</v>
      </c>
      <c r="AB38" s="1348">
        <f t="shared" si="4"/>
        <v>1</v>
      </c>
      <c r="AC38" s="1348">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7"/>
      <c r="M39" s="2711"/>
      <c r="N39" s="2711"/>
      <c r="O39" s="2769"/>
      <c r="P39" s="3712"/>
      <c r="Q39" s="1347">
        <f t="shared" si="14"/>
        <v>111</v>
      </c>
      <c r="R39" s="703" t="s">
        <v>14</v>
      </c>
      <c r="S39" s="704">
        <f t="shared" si="10"/>
        <v>100</v>
      </c>
      <c r="T39" s="703" t="s">
        <v>14</v>
      </c>
      <c r="U39" s="704">
        <f t="shared" si="11"/>
        <v>100</v>
      </c>
      <c r="V39" s="703" t="s">
        <v>14</v>
      </c>
      <c r="W39" s="704">
        <f t="shared" si="12"/>
        <v>100</v>
      </c>
      <c r="X39" s="1350"/>
      <c r="Y39" s="3712"/>
      <c r="Z39" s="1351">
        <f t="shared" si="13"/>
        <v>111</v>
      </c>
      <c r="AA39" s="1348">
        <f t="shared" si="3"/>
        <v>1</v>
      </c>
      <c r="AB39" s="1348">
        <f t="shared" si="4"/>
        <v>1</v>
      </c>
      <c r="AC39" s="1348">
        <f t="shared" si="5"/>
        <v>1</v>
      </c>
    </row>
    <row r="40" spans="1:31" s="421" customFormat="1" ht="15.75" thickBot="1">
      <c r="A40" s="418"/>
      <c r="B40" s="1130">
        <v>111</v>
      </c>
      <c r="C40" s="1976"/>
      <c r="D40" s="127">
        <v>100</v>
      </c>
      <c r="E40" s="621"/>
      <c r="F40" s="388">
        <f>SUMIF(120:120,E40,121:121)-SUMIF(120:120,C40,121:121)+100</f>
        <v>100</v>
      </c>
      <c r="G40" s="621"/>
      <c r="H40" s="388">
        <f>SUMIF(120:120,G40,121:121)-SUMIF(120:120,C40,121:121)+100</f>
        <v>100</v>
      </c>
      <c r="I40" s="497"/>
      <c r="J40" s="388">
        <f>SUMIF(120:120,I40,121:121)-SUMIF(120:120,C40,121:121)+100</f>
        <v>100</v>
      </c>
      <c r="K40" s="628"/>
      <c r="L40" s="2716"/>
      <c r="M40" s="2718"/>
      <c r="N40" s="2718"/>
      <c r="O40" s="2770"/>
      <c r="P40" s="3712"/>
      <c r="Q40" s="1347">
        <f t="shared" si="14"/>
        <v>111</v>
      </c>
      <c r="R40" s="706" t="s">
        <v>14</v>
      </c>
      <c r="S40" s="707">
        <f t="shared" si="10"/>
        <v>100</v>
      </c>
      <c r="T40" s="706" t="s">
        <v>14</v>
      </c>
      <c r="U40" s="707">
        <f t="shared" si="11"/>
        <v>100</v>
      </c>
      <c r="V40" s="706" t="s">
        <v>14</v>
      </c>
      <c r="W40" s="707">
        <f t="shared" si="12"/>
        <v>100</v>
      </c>
      <c r="X40" s="708"/>
      <c r="Y40" s="3712"/>
      <c r="Z40" s="709">
        <f t="shared" si="13"/>
        <v>111</v>
      </c>
      <c r="AA40" s="1348">
        <f t="shared" si="3"/>
        <v>1</v>
      </c>
      <c r="AB40" s="1348">
        <f t="shared" si="4"/>
        <v>1</v>
      </c>
      <c r="AC40" s="1348">
        <f t="shared" si="5"/>
        <v>1</v>
      </c>
    </row>
    <row r="41" spans="1:31" ht="15">
      <c r="A41" s="429" t="s">
        <v>1842</v>
      </c>
      <c r="B41" s="1977" t="s">
        <v>1919</v>
      </c>
      <c r="C41" s="629" t="s">
        <v>0</v>
      </c>
      <c r="D41" s="431"/>
      <c r="E41" s="432"/>
      <c r="F41" s="433"/>
      <c r="G41" s="434"/>
      <c r="H41" s="435"/>
      <c r="I41" s="432"/>
      <c r="J41" s="435"/>
      <c r="K41" s="712"/>
      <c r="L41" s="2719"/>
      <c r="M41" s="2711"/>
      <c r="N41" s="2711"/>
      <c r="O41" s="2720"/>
      <c r="P41" s="3705" t="str">
        <f>A41</f>
        <v>成交单价</v>
      </c>
      <c r="Q41" s="3705"/>
      <c r="R41" s="3736">
        <f>E41</f>
        <v>0</v>
      </c>
      <c r="S41" s="3736"/>
      <c r="T41" s="3736">
        <f>G41</f>
        <v>0</v>
      </c>
      <c r="U41" s="3736"/>
      <c r="V41" s="3736">
        <f>I41</f>
        <v>0</v>
      </c>
      <c r="W41" s="3736"/>
      <c r="X41" s="688"/>
      <c r="Y41" s="710"/>
      <c r="Z41" s="688"/>
      <c r="AA41" s="688"/>
      <c r="AB41" s="688"/>
      <c r="AC41" s="688"/>
    </row>
    <row r="42" spans="1:31" ht="15.75" thickBot="1">
      <c r="A42" s="436" t="s">
        <v>1791</v>
      </c>
      <c r="B42" s="630"/>
      <c r="C42" s="439" t="e">
        <f>R43</f>
        <v>#DIV/0!</v>
      </c>
      <c r="D42" s="2312" t="s">
        <v>2135</v>
      </c>
      <c r="E42" s="439" t="e">
        <f>R42</f>
        <v>#DIV/0!</v>
      </c>
      <c r="F42" s="2313"/>
      <c r="G42" s="438" t="e">
        <f>T42</f>
        <v>#DIV/0!</v>
      </c>
      <c r="H42" s="2313"/>
      <c r="I42" s="439" t="e">
        <f>V42</f>
        <v>#DIV/0!</v>
      </c>
      <c r="J42" s="2313"/>
      <c r="K42" s="2315">
        <f>F42+H42+J42</f>
        <v>0</v>
      </c>
      <c r="L42" s="2719"/>
      <c r="M42" s="2711"/>
      <c r="N42" s="2711"/>
      <c r="O42" s="2720"/>
      <c r="P42" s="3705" t="str">
        <f>A42</f>
        <v>比较价值（元/平方米）</v>
      </c>
      <c r="Q42" s="3705"/>
      <c r="R42" s="3765" t="e">
        <f>ROUND(PRODUCT(R41,AA7:AA40),0)</f>
        <v>#DIV/0!</v>
      </c>
      <c r="S42" s="3765"/>
      <c r="T42" s="3765" t="e">
        <f>ROUND(PRODUCT(T41,AB7:AB40),0)</f>
        <v>#DIV/0!</v>
      </c>
      <c r="U42" s="3765"/>
      <c r="V42" s="3765" t="e">
        <f>ROUND(PRODUCT(V41,AC7:AC40),0)</f>
        <v>#DIV/0!</v>
      </c>
      <c r="W42" s="3765"/>
      <c r="X42" s="688"/>
      <c r="Y42" s="688"/>
      <c r="Z42" s="688"/>
      <c r="AA42" s="688"/>
      <c r="AB42" s="688"/>
      <c r="AC42" s="688"/>
    </row>
    <row r="43" spans="1:31" ht="15.75" thickBot="1">
      <c r="A43" s="440" t="s">
        <v>1792</v>
      </c>
      <c r="B43" s="441"/>
      <c r="C43" s="442" t="e">
        <f>R43</f>
        <v>#DIV/0!</v>
      </c>
      <c r="D43" s="442"/>
      <c r="E43" s="442"/>
      <c r="F43" s="442"/>
      <c r="G43" s="442"/>
      <c r="H43" s="442"/>
      <c r="I43" s="442"/>
      <c r="J43" s="442"/>
      <c r="K43" s="713"/>
      <c r="L43" s="2719"/>
      <c r="M43" s="2711"/>
      <c r="N43" s="2711"/>
      <c r="O43" s="2720"/>
      <c r="P43" s="3702" t="str">
        <f>A43</f>
        <v>估价对象XX用房的比较价值（楼面单价，元/平方米）</v>
      </c>
      <c r="Q43" s="3703"/>
      <c r="R43" s="3766" t="e">
        <f>ROUND(IF(D42="简单平均",AVERAGE(R42:W42),R42*F42+T42*H42+V42*J42),0)</f>
        <v>#DIV/0!</v>
      </c>
      <c r="S43" s="3766"/>
      <c r="T43" s="3766"/>
      <c r="U43" s="3766"/>
      <c r="V43" s="3766"/>
      <c r="W43" s="3766"/>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0" customFormat="1" ht="13.5" customHeight="1">
      <c r="A48" s="2723"/>
      <c r="B48" s="2723"/>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0"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1878</v>
      </c>
      <c r="B50" s="632" t="s">
        <v>1879</v>
      </c>
      <c r="C50" s="1978" t="s">
        <v>1880</v>
      </c>
      <c r="D50" s="1979" t="s">
        <v>1881</v>
      </c>
      <c r="E50" s="633" t="s">
        <v>1882</v>
      </c>
      <c r="F50" s="634" t="s">
        <v>1883</v>
      </c>
      <c r="G50" s="3720" t="s">
        <v>1884</v>
      </c>
      <c r="H50" s="3767"/>
      <c r="I50" s="1351" t="s">
        <v>1920</v>
      </c>
      <c r="J50" s="1351">
        <f>项目基本情况!F35</f>
        <v>0</v>
      </c>
      <c r="K50" s="1981" t="s">
        <v>1886</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1887</v>
      </c>
      <c r="B51" s="636" t="e">
        <f>C43</f>
        <v>#DIV/0!</v>
      </c>
      <c r="C51" s="637">
        <v>1</v>
      </c>
      <c r="D51" s="940">
        <v>1</v>
      </c>
      <c r="E51" s="637">
        <f>'数据-汇总表'!E8+'数据-汇总表'!E9</f>
        <v>32206.960000000006</v>
      </c>
      <c r="F51" s="638" t="e">
        <f t="shared" ref="F51:F60" si="15">ROUND(B51*E51/10000,0)</f>
        <v>#DIV/0!</v>
      </c>
      <c r="G51" s="3716"/>
      <c r="H51" s="3705"/>
      <c r="I51" s="771">
        <v>1</v>
      </c>
      <c r="J51" s="771">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1888</v>
      </c>
      <c r="B52" s="217" t="e">
        <f>ROUND($C$43*C52*D52,0)</f>
        <v>#DIV/0!</v>
      </c>
      <c r="C52" s="170">
        <f t="shared" ref="C52:C60" si="16">IF($C$50="北京市系数",I52,J52)</f>
        <v>0</v>
      </c>
      <c r="D52" s="941">
        <v>0.25</v>
      </c>
      <c r="E52" s="641"/>
      <c r="F52" s="638" t="e">
        <f t="shared" si="15"/>
        <v>#DIV/0!</v>
      </c>
      <c r="G52" s="3001" t="s">
        <v>1889</v>
      </c>
      <c r="H52" s="885">
        <f>项目基本情况!B37</f>
        <v>0</v>
      </c>
      <c r="I52" s="771">
        <f>SUMIF(修正!A57:A68,H52,修正!B57:B68)</f>
        <v>0</v>
      </c>
      <c r="J52" s="772"/>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1890</v>
      </c>
      <c r="B53" s="217" t="e">
        <f t="shared" ref="B53:B60" si="17">ROUND($C$43*C53*D53,0)</f>
        <v>#DIV/0!</v>
      </c>
      <c r="C53" s="170">
        <f t="shared" si="16"/>
        <v>0</v>
      </c>
      <c r="D53" s="941">
        <v>0.25</v>
      </c>
      <c r="E53" s="641"/>
      <c r="F53" s="638" t="e">
        <f t="shared" si="15"/>
        <v>#DIV/0!</v>
      </c>
      <c r="G53" s="3002"/>
      <c r="H53" s="885">
        <f>项目基本情况!B37</f>
        <v>0</v>
      </c>
      <c r="I53" s="771">
        <f>SUMIF(修正!A57:A68,H53,修正!C57:C68)</f>
        <v>0</v>
      </c>
      <c r="J53" s="772"/>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1891</v>
      </c>
      <c r="B54" s="217" t="e">
        <f t="shared" si="17"/>
        <v>#DIV/0!</v>
      </c>
      <c r="C54" s="170">
        <f t="shared" si="16"/>
        <v>0</v>
      </c>
      <c r="D54" s="941">
        <v>0.25</v>
      </c>
      <c r="E54" s="641"/>
      <c r="F54" s="638" t="e">
        <f t="shared" si="15"/>
        <v>#DIV/0!</v>
      </c>
      <c r="G54" s="3002"/>
      <c r="H54" s="885">
        <f>项目基本情况!B37</f>
        <v>0</v>
      </c>
      <c r="I54" s="771">
        <f>SUMIF(修正!A57:A68,H54,修正!D57:D68)</f>
        <v>0</v>
      </c>
      <c r="J54" s="772"/>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7"/>
      <c r="C55" s="170"/>
      <c r="D55" s="941"/>
      <c r="E55" s="641"/>
      <c r="F55" s="638"/>
      <c r="G55" s="3003"/>
      <c r="H55" s="885"/>
      <c r="I55" s="771"/>
      <c r="J55" s="772"/>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1892</v>
      </c>
      <c r="B56" s="217" t="e">
        <f t="shared" si="17"/>
        <v>#DIV/0!</v>
      </c>
      <c r="C56" s="170">
        <f t="shared" si="16"/>
        <v>0</v>
      </c>
      <c r="D56" s="941">
        <v>0.25</v>
      </c>
      <c r="E56" s="216">
        <f>'数据-汇总表'!E11</f>
        <v>0</v>
      </c>
      <c r="F56" s="638" t="e">
        <f t="shared" si="15"/>
        <v>#DIV/0!</v>
      </c>
      <c r="G56" s="1982" t="s">
        <v>1893</v>
      </c>
      <c r="H56" s="885">
        <f>项目基本情况!C37</f>
        <v>0</v>
      </c>
      <c r="I56" s="771">
        <f>SUMIF(修正!A57:A68,H56,修正!E57:E68)</f>
        <v>0</v>
      </c>
      <c r="J56" s="772"/>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1894</v>
      </c>
      <c r="B57" s="217" t="e">
        <f t="shared" si="17"/>
        <v>#DIV/0!</v>
      </c>
      <c r="C57" s="170">
        <f t="shared" si="16"/>
        <v>0</v>
      </c>
      <c r="D57" s="941">
        <v>0.25</v>
      </c>
      <c r="E57" s="216">
        <f>'数据-汇总表'!E12</f>
        <v>0</v>
      </c>
      <c r="F57" s="638" t="e">
        <f t="shared" si="15"/>
        <v>#DIV/0!</v>
      </c>
      <c r="G57" s="890" t="s">
        <v>1895</v>
      </c>
      <c r="H57" s="885">
        <f>IF(G57="商业",项目基本情况!B37,IF(G57="办公",项目基本情况!C37,IF(G57="住宅",项目基本情况!D37,项目基本情况!E37)))</f>
        <v>0</v>
      </c>
      <c r="I57" s="771">
        <f>SUMIF(修正!A57:A68,H57,修正!F57:F68)</f>
        <v>0</v>
      </c>
      <c r="J57" s="772"/>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1896</v>
      </c>
      <c r="B58" s="217" t="e">
        <f t="shared" si="17"/>
        <v>#DIV/0!</v>
      </c>
      <c r="C58" s="170">
        <f t="shared" si="16"/>
        <v>0</v>
      </c>
      <c r="D58" s="941">
        <v>0.25</v>
      </c>
      <c r="E58" s="216">
        <f>'数据-汇总表'!E13</f>
        <v>0</v>
      </c>
      <c r="F58" s="638" t="e">
        <f t="shared" si="15"/>
        <v>#DIV/0!</v>
      </c>
      <c r="G58" s="890" t="s">
        <v>1897</v>
      </c>
      <c r="H58" s="885">
        <f>IF(G58="商业",项目基本情况!B37,IF(G58="办公",项目基本情况!C37,IF(G58="住宅",项目基本情况!D37,项目基本情况!E37)))</f>
        <v>0</v>
      </c>
      <c r="I58" s="771">
        <f>SUMIF(修正!A57:A68,H58,修正!G57:G68)</f>
        <v>0</v>
      </c>
      <c r="J58" s="772"/>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1898</v>
      </c>
      <c r="B59" s="217" t="e">
        <f t="shared" si="17"/>
        <v>#DIV/0!</v>
      </c>
      <c r="C59" s="170">
        <f t="shared" si="16"/>
        <v>0</v>
      </c>
      <c r="D59" s="941">
        <v>0.25</v>
      </c>
      <c r="E59" s="216">
        <f>'数据-汇总表'!E14</f>
        <v>0</v>
      </c>
      <c r="F59" s="638" t="e">
        <f t="shared" si="15"/>
        <v>#DIV/0!</v>
      </c>
      <c r="G59" s="1982" t="s">
        <v>1889</v>
      </c>
      <c r="H59" s="885">
        <f>项目基本情况!B37</f>
        <v>0</v>
      </c>
      <c r="I59" s="771">
        <f>SUMIF(修正!A57:A68,H59,修正!G57:G68)</f>
        <v>0</v>
      </c>
      <c r="J59" s="772"/>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1899</v>
      </c>
      <c r="B60" s="217" t="e">
        <f t="shared" si="17"/>
        <v>#DIV/0!</v>
      </c>
      <c r="C60" s="170">
        <f t="shared" si="16"/>
        <v>0</v>
      </c>
      <c r="D60" s="941">
        <v>0.25</v>
      </c>
      <c r="E60" s="216">
        <f>'数据-汇总表'!E15</f>
        <v>7219.03</v>
      </c>
      <c r="F60" s="638" t="e">
        <f t="shared" si="15"/>
        <v>#DIV/0!</v>
      </c>
      <c r="G60" s="1983" t="s">
        <v>1893</v>
      </c>
      <c r="H60" s="893">
        <f>项目基本情况!C37</f>
        <v>0</v>
      </c>
      <c r="I60" s="771">
        <f>SUMIF(修正!A57:A68,H60,修正!G57:G68)</f>
        <v>0</v>
      </c>
      <c r="J60" s="772"/>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1900</v>
      </c>
      <c r="B61" s="643" t="s">
        <v>22</v>
      </c>
      <c r="C61" s="643" t="s">
        <v>23</v>
      </c>
      <c r="D61" s="643" t="s">
        <v>392</v>
      </c>
      <c r="E61" s="643">
        <f>IF(B41="楼面地价",SUM(E51:E60),'数据-汇总表'!D3)</f>
        <v>6294.36</v>
      </c>
      <c r="F61" s="644"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6"/>
      <c r="L62" s="887"/>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0"/>
      <c r="Q63" s="2720"/>
      <c r="R63" s="2720"/>
      <c r="S63" s="2720"/>
      <c r="T63" s="2720"/>
      <c r="U63" s="2720"/>
      <c r="V63" s="2720"/>
      <c r="W63" s="2720"/>
      <c r="X63" s="2720"/>
      <c r="Y63" s="2720"/>
      <c r="Z63" s="2720"/>
      <c r="AA63" s="2720"/>
      <c r="AB63" s="2720"/>
      <c r="AC63" s="2720"/>
      <c r="AD63" s="2720"/>
      <c r="AE63" s="2720"/>
    </row>
    <row r="64" spans="1:31" ht="21.75" thickBot="1">
      <c r="A64" s="692" t="s">
        <v>1796</v>
      </c>
      <c r="B64" s="688"/>
      <c r="C64" s="693"/>
      <c r="D64" s="693"/>
      <c r="E64" s="693"/>
      <c r="F64" s="694"/>
      <c r="G64" s="694"/>
      <c r="H64" s="693"/>
      <c r="I64" s="693"/>
      <c r="J64" s="693"/>
      <c r="K64" s="695"/>
      <c r="L64" s="696"/>
      <c r="M64" s="693"/>
      <c r="N64" s="693"/>
      <c r="O64" s="936"/>
      <c r="P64" s="2764"/>
      <c r="Q64" s="2734"/>
      <c r="R64" s="2720"/>
      <c r="S64" s="2720"/>
      <c r="T64" s="2720"/>
      <c r="U64" s="2720"/>
      <c r="V64" s="2720"/>
      <c r="W64" s="2720"/>
      <c r="X64" s="2720"/>
      <c r="Y64" s="2720"/>
      <c r="Z64" s="2720"/>
      <c r="AA64" s="2720"/>
      <c r="AB64" s="2720"/>
      <c r="AC64" s="2720"/>
      <c r="AD64" s="2720"/>
      <c r="AE64" s="2720"/>
    </row>
    <row r="65" spans="1:31" s="456" customFormat="1" ht="15">
      <c r="A65" s="1984" t="s">
        <v>1901</v>
      </c>
      <c r="B65" s="1105"/>
      <c r="C65" s="1177" t="str">
        <f>YEAR(C63)&amp;"-"&amp;ROUNDUP(MONTH(C63)/3,0)</f>
        <v>2024-1</v>
      </c>
      <c r="D65" s="1177" t="str">
        <f t="shared" ref="D65:O65" si="19">YEAR(D63)&amp;"-"&amp;ROUNDUP(MONTH(D63)/3,0)</f>
        <v>2023-4</v>
      </c>
      <c r="E65" s="1177" t="str">
        <f t="shared" si="19"/>
        <v>2023-3</v>
      </c>
      <c r="F65" s="1177" t="str">
        <f t="shared" si="19"/>
        <v>2023-2</v>
      </c>
      <c r="G65" s="1177" t="str">
        <f t="shared" si="19"/>
        <v>2023-1</v>
      </c>
      <c r="H65" s="1177" t="str">
        <f t="shared" si="19"/>
        <v>2022-4</v>
      </c>
      <c r="I65" s="1177" t="str">
        <f t="shared" si="19"/>
        <v>2022-3</v>
      </c>
      <c r="J65" s="1177" t="str">
        <f t="shared" si="19"/>
        <v>2022-2</v>
      </c>
      <c r="K65" s="1177" t="str">
        <f t="shared" si="19"/>
        <v>2022-1</v>
      </c>
      <c r="L65" s="1177" t="str">
        <f t="shared" si="19"/>
        <v>2021-4</v>
      </c>
      <c r="M65" s="1177" t="str">
        <f t="shared" si="19"/>
        <v>2021-3</v>
      </c>
      <c r="N65" s="1177" t="str">
        <f t="shared" si="19"/>
        <v>2021-2</v>
      </c>
      <c r="O65" s="1177" t="str">
        <f t="shared" si="19"/>
        <v>2021-1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1921</v>
      </c>
      <c r="B66" s="287" t="str">
        <f>"北京市平均增长率"&amp;TEXT(基准地价修正!P28,"0.00%")</f>
        <v>北京市平均增长率0.00%</v>
      </c>
      <c r="C66" s="551">
        <v>100</v>
      </c>
      <c r="D66" s="543"/>
      <c r="E66" s="543"/>
      <c r="F66" s="543"/>
      <c r="G66" s="543"/>
      <c r="H66" s="543"/>
      <c r="I66" s="543"/>
      <c r="J66" s="543"/>
      <c r="K66" s="543"/>
      <c r="L66" s="543"/>
      <c r="M66" s="1174"/>
      <c r="N66" s="1174"/>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3" t="s">
        <v>1714</v>
      </c>
      <c r="B67" s="464"/>
      <c r="C67" s="465"/>
      <c r="D67" s="466"/>
      <c r="E67" s="466"/>
      <c r="F67" s="466"/>
      <c r="G67" s="466"/>
      <c r="H67" s="466"/>
      <c r="I67" s="466"/>
      <c r="J67" s="466"/>
      <c r="K67" s="466"/>
      <c r="L67" s="466"/>
      <c r="M67" s="467"/>
      <c r="N67" s="467"/>
      <c r="O67" s="468"/>
      <c r="P67" s="2734"/>
      <c r="Q67" s="2734"/>
      <c r="R67" s="2656"/>
      <c r="S67" s="2656"/>
      <c r="T67" s="2656"/>
      <c r="U67" s="2656"/>
      <c r="V67" s="2656"/>
      <c r="W67" s="2656"/>
      <c r="X67" s="2656"/>
      <c r="Y67" s="2656"/>
      <c r="Z67" s="2656"/>
      <c r="AA67" s="2656"/>
      <c r="AB67" s="2656"/>
      <c r="AC67" s="2656"/>
      <c r="AD67" s="2656"/>
      <c r="AE67" s="2656"/>
    </row>
    <row r="68" spans="1:31" s="108" customFormat="1" ht="15">
      <c r="A68" s="469" t="s">
        <v>1679</v>
      </c>
      <c r="B68" s="458"/>
      <c r="C68" s="470" t="s">
        <v>1774</v>
      </c>
      <c r="D68" s="471"/>
      <c r="E68" s="471"/>
      <c r="F68" s="471"/>
      <c r="G68" s="471"/>
      <c r="H68" s="471"/>
      <c r="I68" s="471"/>
      <c r="J68" s="471"/>
      <c r="K68" s="471"/>
      <c r="L68" s="472"/>
      <c r="M68" s="473"/>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69"/>
      <c r="B69" s="458"/>
      <c r="C69" s="586">
        <v>100</v>
      </c>
      <c r="D69" s="460"/>
      <c r="E69" s="460"/>
      <c r="F69" s="460"/>
      <c r="G69" s="460"/>
      <c r="H69" s="460"/>
      <c r="I69" s="460"/>
      <c r="J69" s="460"/>
      <c r="K69" s="460"/>
      <c r="L69" s="460"/>
      <c r="M69" s="462"/>
      <c r="N69" s="2747"/>
      <c r="O69" s="2747"/>
      <c r="P69" s="2734"/>
      <c r="Q69" s="2734"/>
      <c r="R69" s="2656"/>
      <c r="S69" s="2656"/>
      <c r="T69" s="2656"/>
      <c r="U69" s="2656"/>
      <c r="V69" s="2656"/>
      <c r="W69" s="2656"/>
      <c r="X69" s="2656"/>
      <c r="Y69" s="2656"/>
      <c r="Z69" s="2656"/>
      <c r="AA69" s="2656"/>
      <c r="AB69" s="2656"/>
      <c r="AC69" s="2656"/>
      <c r="AD69" s="2656"/>
      <c r="AE69" s="2656"/>
    </row>
    <row r="70" spans="1:31">
      <c r="A70" s="475" t="s">
        <v>1717</v>
      </c>
      <c r="B70" s="476" t="s">
        <v>1683</v>
      </c>
      <c r="C70" s="478"/>
      <c r="D70" s="478"/>
      <c r="E70" s="478"/>
      <c r="F70" s="478"/>
      <c r="G70" s="478"/>
      <c r="H70" s="478"/>
      <c r="I70" s="478"/>
      <c r="J70" s="478"/>
      <c r="K70" s="479"/>
      <c r="L70" s="480"/>
      <c r="M70" s="481"/>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2"/>
      <c r="B71" s="483"/>
      <c r="C71" s="484"/>
      <c r="D71" s="484"/>
      <c r="E71" s="484"/>
      <c r="F71" s="484"/>
      <c r="G71" s="484"/>
      <c r="H71" s="484"/>
      <c r="I71" s="484"/>
      <c r="J71" s="484"/>
      <c r="K71" s="484"/>
      <c r="L71" s="484"/>
      <c r="M71" s="485"/>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2"/>
      <c r="B72" s="486" t="s">
        <v>1686</v>
      </c>
      <c r="C72" s="487"/>
      <c r="D72" s="487"/>
      <c r="E72" s="487"/>
      <c r="F72" s="487"/>
      <c r="G72" s="487"/>
      <c r="H72" s="487"/>
      <c r="I72" s="487"/>
      <c r="J72" s="487"/>
      <c r="K72" s="488"/>
      <c r="L72" s="489"/>
      <c r="M72" s="490"/>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2"/>
      <c r="B73" s="491"/>
      <c r="C73" s="492"/>
      <c r="D73" s="492"/>
      <c r="E73" s="492"/>
      <c r="F73" s="492"/>
      <c r="G73" s="492"/>
      <c r="H73" s="492"/>
      <c r="I73" s="492"/>
      <c r="J73" s="492"/>
      <c r="K73" s="492"/>
      <c r="L73" s="492"/>
      <c r="M73" s="493"/>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2"/>
      <c r="B74" s="494" t="s">
        <v>1687</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2"/>
      <c r="B75" s="496"/>
      <c r="C75" s="497"/>
      <c r="D75" s="497"/>
      <c r="E75" s="497"/>
      <c r="F75" s="497"/>
      <c r="G75" s="497"/>
      <c r="H75" s="497"/>
      <c r="I75" s="497"/>
      <c r="J75" s="497"/>
      <c r="K75" s="498"/>
      <c r="L75" s="499"/>
      <c r="M75" s="500"/>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1" customFormat="1" ht="15.75" thickTop="1">
      <c r="A77" s="501"/>
      <c r="B77" s="486">
        <f>B12</f>
        <v>111</v>
      </c>
      <c r="C77" s="502"/>
      <c r="D77" s="502"/>
      <c r="E77" s="502"/>
      <c r="F77" s="502"/>
      <c r="G77" s="502"/>
      <c r="H77" s="503"/>
      <c r="I77" s="503"/>
      <c r="J77" s="503"/>
      <c r="K77" s="503"/>
      <c r="L77" s="504"/>
      <c r="M77" s="505"/>
      <c r="N77" s="2750"/>
      <c r="O77" s="2750"/>
      <c r="P77" s="2774"/>
      <c r="Q77" s="2741"/>
      <c r="R77" s="2742"/>
      <c r="S77" s="2742"/>
      <c r="T77" s="2742"/>
      <c r="U77" s="2742"/>
      <c r="V77" s="2742"/>
      <c r="W77" s="2742"/>
      <c r="X77" s="2742"/>
      <c r="Y77" s="2742"/>
      <c r="Z77" s="2742"/>
      <c r="AA77" s="2742"/>
      <c r="AB77" s="2742"/>
      <c r="AC77" s="2742"/>
      <c r="AD77" s="2742"/>
      <c r="AE77" s="2742"/>
    </row>
    <row r="78" spans="1:31" s="421" customFormat="1" ht="15.75" thickBot="1">
      <c r="A78" s="501"/>
      <c r="B78" s="491"/>
      <c r="C78" s="508"/>
      <c r="D78" s="484"/>
      <c r="E78" s="484"/>
      <c r="F78" s="484"/>
      <c r="G78" s="484"/>
      <c r="H78" s="484"/>
      <c r="I78" s="484"/>
      <c r="J78" s="484"/>
      <c r="K78" s="484"/>
      <c r="L78" s="484"/>
      <c r="M78" s="485"/>
      <c r="N78" s="2749"/>
      <c r="O78" s="2749"/>
      <c r="P78" s="2774"/>
      <c r="Q78" s="2741"/>
      <c r="R78" s="2742"/>
      <c r="S78" s="2742"/>
      <c r="T78" s="2742"/>
      <c r="U78" s="2742"/>
      <c r="V78" s="2742"/>
      <c r="W78" s="2742"/>
      <c r="X78" s="2742"/>
      <c r="Y78" s="2742"/>
      <c r="Z78" s="2742"/>
      <c r="AA78" s="2742"/>
      <c r="AB78" s="2742"/>
      <c r="AC78" s="2742"/>
      <c r="AD78" s="2742"/>
      <c r="AE78" s="2742"/>
    </row>
    <row r="79" spans="1:31" s="421" customFormat="1" ht="15.75" thickTop="1">
      <c r="A79" s="501"/>
      <c r="B79" s="486">
        <f>B13</f>
        <v>111</v>
      </c>
      <c r="C79" s="502"/>
      <c r="D79" s="502"/>
      <c r="E79" s="502"/>
      <c r="F79" s="502"/>
      <c r="G79" s="502"/>
      <c r="H79" s="503"/>
      <c r="I79" s="503"/>
      <c r="J79" s="503"/>
      <c r="K79" s="503"/>
      <c r="L79" s="504"/>
      <c r="M79" s="505"/>
      <c r="N79" s="2750"/>
      <c r="O79" s="2750"/>
      <c r="P79" s="2718"/>
      <c r="Q79" s="2744"/>
      <c r="R79" s="2742"/>
      <c r="S79" s="2742"/>
      <c r="T79" s="2742"/>
      <c r="U79" s="2742"/>
      <c r="V79" s="2742"/>
      <c r="W79" s="2742"/>
      <c r="X79" s="2742"/>
      <c r="Y79" s="2742"/>
      <c r="Z79" s="2742"/>
      <c r="AA79" s="2742"/>
      <c r="AB79" s="2742"/>
      <c r="AC79" s="2742"/>
      <c r="AD79" s="2742"/>
      <c r="AE79" s="2742"/>
    </row>
    <row r="80" spans="1:31" s="421" customFormat="1" ht="15.75" thickBot="1">
      <c r="A80" s="501"/>
      <c r="B80" s="491"/>
      <c r="C80" s="508"/>
      <c r="D80" s="508"/>
      <c r="E80" s="508"/>
      <c r="F80" s="508"/>
      <c r="G80" s="508"/>
      <c r="H80" s="510"/>
      <c r="I80" s="510"/>
      <c r="J80" s="510"/>
      <c r="K80" s="510"/>
      <c r="L80" s="510"/>
      <c r="M80" s="511"/>
      <c r="N80" s="2750"/>
      <c r="O80" s="2750"/>
      <c r="P80" s="2774"/>
      <c r="Q80" s="2741"/>
      <c r="R80" s="2742"/>
      <c r="S80" s="2742"/>
      <c r="T80" s="2742"/>
      <c r="U80" s="2742"/>
      <c r="V80" s="2742"/>
      <c r="W80" s="2742"/>
      <c r="X80" s="2742"/>
      <c r="Y80" s="2742"/>
      <c r="Z80" s="2742"/>
      <c r="AA80" s="2742"/>
      <c r="AB80" s="2742"/>
      <c r="AC80" s="2742"/>
      <c r="AD80" s="2742"/>
      <c r="AE80" s="2742"/>
    </row>
    <row r="81" spans="1:31" s="421" customFormat="1" ht="15.75" thickTop="1">
      <c r="A81" s="501"/>
      <c r="B81" s="494">
        <f>B14</f>
        <v>111</v>
      </c>
      <c r="C81" s="471"/>
      <c r="D81" s="471"/>
      <c r="E81" s="471"/>
      <c r="F81" s="471"/>
      <c r="G81" s="471"/>
      <c r="H81" s="512"/>
      <c r="I81" s="512"/>
      <c r="J81" s="512"/>
      <c r="K81" s="512"/>
      <c r="L81" s="513"/>
      <c r="M81" s="514"/>
      <c r="N81" s="2750"/>
      <c r="O81" s="2750"/>
      <c r="P81" s="2779"/>
      <c r="Q81" s="2741"/>
      <c r="R81" s="2742"/>
      <c r="S81" s="2742"/>
      <c r="T81" s="2742"/>
      <c r="U81" s="2742"/>
      <c r="V81" s="2742"/>
      <c r="W81" s="2742"/>
      <c r="X81" s="2742"/>
      <c r="Y81" s="2742"/>
      <c r="Z81" s="2742"/>
      <c r="AA81" s="2742"/>
      <c r="AB81" s="2742"/>
      <c r="AC81" s="2742"/>
      <c r="AD81" s="2742"/>
      <c r="AE81" s="2742"/>
    </row>
    <row r="82" spans="1:31" s="421" customFormat="1" ht="15.75" thickBot="1">
      <c r="A82" s="516"/>
      <c r="B82" s="517"/>
      <c r="C82" s="518"/>
      <c r="D82" s="518"/>
      <c r="E82" s="518"/>
      <c r="F82" s="518"/>
      <c r="G82" s="518"/>
      <c r="H82" s="519"/>
      <c r="I82" s="519"/>
      <c r="J82" s="519"/>
      <c r="K82" s="519"/>
      <c r="L82" s="519"/>
      <c r="M82" s="520"/>
      <c r="N82" s="2750"/>
      <c r="O82" s="2750"/>
      <c r="P82" s="2774"/>
      <c r="Q82" s="2741"/>
      <c r="R82" s="2742"/>
      <c r="S82" s="2742"/>
      <c r="T82" s="2742"/>
      <c r="U82" s="2742"/>
      <c r="V82" s="2742"/>
      <c r="W82" s="2742"/>
      <c r="X82" s="2742"/>
      <c r="Y82" s="2742"/>
      <c r="Z82" s="2742"/>
      <c r="AA82" s="2742"/>
      <c r="AB82" s="2742"/>
      <c r="AC82" s="2742"/>
      <c r="AD82" s="2742"/>
      <c r="AE82" s="2742"/>
    </row>
    <row r="83" spans="1:31">
      <c r="A83" s="475" t="s">
        <v>1688</v>
      </c>
      <c r="B83" s="476" t="s">
        <v>1827</v>
      </c>
      <c r="C83" s="521" t="s">
        <v>1719</v>
      </c>
      <c r="D83" s="521" t="s">
        <v>1720</v>
      </c>
      <c r="E83" s="521" t="s">
        <v>1721</v>
      </c>
      <c r="F83" s="521" t="s">
        <v>1722</v>
      </c>
      <c r="G83" s="521" t="s">
        <v>1723</v>
      </c>
      <c r="H83" s="477"/>
      <c r="I83" s="477"/>
      <c r="J83" s="477"/>
      <c r="K83" s="522"/>
      <c r="L83" s="523"/>
      <c r="M83" s="524"/>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2"/>
      <c r="B85" s="486" t="s">
        <v>1724</v>
      </c>
      <c r="C85" s="526" t="s">
        <v>1719</v>
      </c>
      <c r="D85" s="526" t="s">
        <v>1720</v>
      </c>
      <c r="E85" s="526" t="s">
        <v>1721</v>
      </c>
      <c r="F85" s="526" t="s">
        <v>1722</v>
      </c>
      <c r="G85" s="526" t="s">
        <v>1723</v>
      </c>
      <c r="H85" s="487"/>
      <c r="I85" s="487"/>
      <c r="J85" s="487"/>
      <c r="K85" s="488"/>
      <c r="L85" s="489"/>
      <c r="M85" s="490"/>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7"/>
      <c r="B87" s="486" t="s">
        <v>1904</v>
      </c>
      <c r="C87" s="521" t="s">
        <v>1719</v>
      </c>
      <c r="D87" s="521" t="s">
        <v>1720</v>
      </c>
      <c r="E87" s="521" t="s">
        <v>1721</v>
      </c>
      <c r="F87" s="521" t="s">
        <v>1722</v>
      </c>
      <c r="G87" s="521" t="s">
        <v>1723</v>
      </c>
      <c r="H87" s="526"/>
      <c r="I87" s="526"/>
      <c r="J87" s="526"/>
      <c r="K87" s="526"/>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7"/>
      <c r="B89" s="486" t="s">
        <v>1905</v>
      </c>
      <c r="C89" s="521" t="s">
        <v>1719</v>
      </c>
      <c r="D89" s="521" t="s">
        <v>1720</v>
      </c>
      <c r="E89" s="521" t="s">
        <v>1721</v>
      </c>
      <c r="F89" s="521" t="s">
        <v>1722</v>
      </c>
      <c r="G89" s="521" t="s">
        <v>1723</v>
      </c>
      <c r="H89" s="526"/>
      <c r="I89" s="526"/>
      <c r="J89" s="526"/>
      <c r="K89" s="526"/>
      <c r="L89" s="526"/>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9"/>
      <c r="O90" s="2749"/>
      <c r="P90" s="2773"/>
      <c r="Q90" s="2734"/>
      <c r="R90" s="2656"/>
      <c r="S90" s="2656"/>
      <c r="T90" s="2656"/>
      <c r="U90" s="2656"/>
      <c r="V90" s="2656"/>
      <c r="W90" s="2656"/>
      <c r="X90" s="2656"/>
      <c r="Y90" s="2656"/>
      <c r="Z90" s="2656"/>
      <c r="AA90" s="2656"/>
      <c r="AB90" s="2656"/>
      <c r="AC90" s="2656"/>
      <c r="AD90" s="2656"/>
      <c r="AE90" s="2656"/>
    </row>
    <row r="91" spans="1:31" s="421" customFormat="1" ht="15.75" thickTop="1">
      <c r="A91" s="501"/>
      <c r="B91" s="486" t="s">
        <v>1776</v>
      </c>
      <c r="C91" s="521" t="s">
        <v>1719</v>
      </c>
      <c r="D91" s="521" t="s">
        <v>1720</v>
      </c>
      <c r="E91" s="521" t="s">
        <v>1721</v>
      </c>
      <c r="F91" s="521" t="s">
        <v>1722</v>
      </c>
      <c r="G91" s="521" t="s">
        <v>1723</v>
      </c>
      <c r="H91" s="548"/>
      <c r="I91" s="548"/>
      <c r="J91" s="548"/>
      <c r="K91" s="548"/>
      <c r="L91" s="549"/>
      <c r="M91" s="550"/>
      <c r="N91" s="2750"/>
      <c r="O91" s="2750"/>
      <c r="P91" s="2774"/>
      <c r="Q91" s="2741"/>
      <c r="R91" s="2742"/>
      <c r="S91" s="2742"/>
      <c r="T91" s="2742"/>
      <c r="U91" s="2742"/>
      <c r="V91" s="2742"/>
      <c r="W91" s="2742"/>
      <c r="X91" s="2742"/>
      <c r="Y91" s="2742"/>
      <c r="Z91" s="2742"/>
      <c r="AA91" s="2742"/>
      <c r="AB91" s="2742"/>
      <c r="AC91" s="2742"/>
      <c r="AD91" s="2742"/>
      <c r="AE91" s="2742"/>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0"/>
      <c r="O92" s="2750"/>
      <c r="P92" s="2774"/>
      <c r="Q92" s="2741"/>
      <c r="R92" s="2742"/>
      <c r="S92" s="2742"/>
      <c r="T92" s="2742"/>
      <c r="U92" s="2742"/>
      <c r="V92" s="2742"/>
      <c r="W92" s="2742"/>
      <c r="X92" s="2742"/>
      <c r="Y92" s="2742"/>
      <c r="Z92" s="2742"/>
      <c r="AA92" s="2742"/>
      <c r="AB92" s="2742"/>
      <c r="AC92" s="2742"/>
      <c r="AD92" s="2742"/>
      <c r="AE92" s="2742"/>
    </row>
    <row r="93" spans="1:31" s="421" customFormat="1" ht="15.75" thickTop="1">
      <c r="A93" s="501"/>
      <c r="B93" s="494" t="s">
        <v>1922</v>
      </c>
      <c r="C93" s="607" t="s">
        <v>1797</v>
      </c>
      <c r="D93" s="607" t="s">
        <v>1798</v>
      </c>
      <c r="E93" s="607" t="s">
        <v>1799</v>
      </c>
      <c r="F93" s="607" t="s">
        <v>1800</v>
      </c>
      <c r="G93" s="607" t="s">
        <v>1801</v>
      </c>
      <c r="H93" s="548"/>
      <c r="I93" s="548"/>
      <c r="J93" s="548"/>
      <c r="K93" s="548"/>
      <c r="L93" s="548"/>
      <c r="M93" s="550"/>
      <c r="N93" s="2750"/>
      <c r="O93" s="2750"/>
      <c r="P93" s="2774"/>
      <c r="Q93" s="2741"/>
      <c r="R93" s="2742"/>
      <c r="S93" s="2742"/>
      <c r="T93" s="2742"/>
      <c r="U93" s="2742"/>
      <c r="V93" s="2742"/>
      <c r="W93" s="2742"/>
      <c r="X93" s="2742"/>
      <c r="Y93" s="2742"/>
      <c r="Z93" s="2742"/>
      <c r="AA93" s="2742"/>
      <c r="AB93" s="2742"/>
      <c r="AC93" s="2742"/>
      <c r="AD93" s="2742"/>
      <c r="AE93" s="2742"/>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2"/>
      <c r="B97" s="486" t="s">
        <v>1813</v>
      </c>
      <c r="C97" s="502"/>
      <c r="D97" s="502"/>
      <c r="E97" s="502"/>
      <c r="F97" s="502"/>
      <c r="G97" s="502"/>
      <c r="H97" s="531"/>
      <c r="I97" s="531"/>
      <c r="J97" s="531"/>
      <c r="K97" s="532"/>
      <c r="L97" s="533"/>
      <c r="M97" s="534"/>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2"/>
      <c r="B99" s="486" t="s">
        <v>1870</v>
      </c>
      <c r="C99" s="531"/>
      <c r="D99" s="531"/>
      <c r="E99" s="531"/>
      <c r="F99" s="531"/>
      <c r="G99" s="531"/>
      <c r="H99" s="531"/>
      <c r="I99" s="531"/>
      <c r="J99" s="531"/>
      <c r="K99" s="532"/>
      <c r="L99" s="533"/>
      <c r="M99" s="534"/>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2"/>
      <c r="B101" s="494">
        <f>B31</f>
        <v>111</v>
      </c>
      <c r="C101" s="502"/>
      <c r="D101" s="502"/>
      <c r="E101" s="502"/>
      <c r="F101" s="502"/>
      <c r="G101" s="535"/>
      <c r="H101" s="535"/>
      <c r="I101" s="535"/>
      <c r="J101" s="535"/>
      <c r="K101" s="536"/>
      <c r="L101" s="537"/>
      <c r="M101" s="538"/>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2"/>
      <c r="B102" s="517"/>
      <c r="C102" s="508"/>
      <c r="D102" s="484"/>
      <c r="E102" s="484"/>
      <c r="F102" s="484"/>
      <c r="G102" s="539"/>
      <c r="H102" s="539"/>
      <c r="I102" s="539"/>
      <c r="J102" s="539"/>
      <c r="K102" s="539"/>
      <c r="L102" s="539"/>
      <c r="M102" s="540"/>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6">
        <f>B32</f>
        <v>111</v>
      </c>
      <c r="C103" s="502"/>
      <c r="D103" s="502"/>
      <c r="E103" s="502"/>
      <c r="F103" s="502"/>
      <c r="G103" s="531"/>
      <c r="H103" s="531"/>
      <c r="I103" s="531"/>
      <c r="J103" s="531"/>
      <c r="K103" s="532"/>
      <c r="L103" s="533"/>
      <c r="M103" s="534"/>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2"/>
      <c r="B104" s="491"/>
      <c r="C104" s="508"/>
      <c r="D104" s="508"/>
      <c r="E104" s="508"/>
      <c r="F104" s="508"/>
      <c r="G104" s="484"/>
      <c r="H104" s="484"/>
      <c r="I104" s="484"/>
      <c r="J104" s="484"/>
      <c r="K104" s="484"/>
      <c r="L104" s="484"/>
      <c r="M104" s="485"/>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1" customFormat="1" ht="15" thickTop="1">
      <c r="A105" s="541"/>
      <c r="B105" s="542">
        <f>B33</f>
        <v>111</v>
      </c>
      <c r="C105" s="471"/>
      <c r="D105" s="471"/>
      <c r="E105" s="471"/>
      <c r="F105" s="471"/>
      <c r="G105" s="543"/>
      <c r="H105" s="543"/>
      <c r="I105" s="543"/>
      <c r="J105" s="544"/>
      <c r="K105" s="544"/>
      <c r="L105" s="545"/>
      <c r="M105" s="546"/>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1" customFormat="1" ht="15.75" thickBot="1">
      <c r="A106" s="501"/>
      <c r="B106" s="494"/>
      <c r="C106" s="518"/>
      <c r="D106" s="518"/>
      <c r="E106" s="518"/>
      <c r="F106" s="518"/>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5" t="s">
        <v>1692</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2"/>
      <c r="B108" s="494"/>
      <c r="C108" s="543"/>
      <c r="D108" s="543"/>
      <c r="E108" s="543"/>
      <c r="F108" s="543"/>
      <c r="G108" s="543"/>
      <c r="H108" s="543"/>
      <c r="I108" s="543"/>
      <c r="J108" s="544"/>
      <c r="K108" s="544"/>
      <c r="L108" s="545"/>
      <c r="M108" s="546"/>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2"/>
      <c r="B109" s="491"/>
      <c r="C109" s="518"/>
      <c r="D109" s="539"/>
      <c r="E109" s="539"/>
      <c r="F109" s="539"/>
      <c r="G109" s="539"/>
      <c r="H109" s="539"/>
      <c r="I109" s="539"/>
      <c r="J109" s="539"/>
      <c r="K109" s="539"/>
      <c r="L109" s="539"/>
      <c r="M109" s="540"/>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7"/>
      <c r="B110" s="486" t="s">
        <v>1911</v>
      </c>
      <c r="C110" s="531"/>
      <c r="D110" s="531"/>
      <c r="E110" s="531"/>
      <c r="F110" s="531"/>
      <c r="G110" s="531"/>
      <c r="H110" s="531"/>
      <c r="I110" s="531"/>
      <c r="J110" s="531"/>
      <c r="K110" s="532"/>
      <c r="L110" s="533"/>
      <c r="M110" s="534"/>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1" customFormat="1" ht="15" thickTop="1">
      <c r="A112" s="541"/>
      <c r="B112" s="486" t="s">
        <v>1913</v>
      </c>
      <c r="C112" s="502"/>
      <c r="D112" s="502"/>
      <c r="E112" s="502"/>
      <c r="F112" s="502"/>
      <c r="G112" s="502"/>
      <c r="H112" s="531"/>
      <c r="I112" s="531"/>
      <c r="J112" s="531"/>
      <c r="K112" s="532"/>
      <c r="L112" s="533"/>
      <c r="M112" s="534"/>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7"/>
      <c r="B114" s="486" t="s">
        <v>1914</v>
      </c>
      <c r="C114" s="502"/>
      <c r="D114" s="502"/>
      <c r="E114" s="531"/>
      <c r="F114" s="531"/>
      <c r="G114" s="531"/>
      <c r="H114" s="531"/>
      <c r="I114" s="531"/>
      <c r="J114" s="531"/>
      <c r="K114" s="532"/>
      <c r="L114" s="533"/>
      <c r="M114" s="534"/>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7"/>
      <c r="B116" s="486">
        <f>B38</f>
        <v>111</v>
      </c>
      <c r="C116" s="502"/>
      <c r="D116" s="502"/>
      <c r="E116" s="502"/>
      <c r="F116" s="502"/>
      <c r="G116" s="502"/>
      <c r="H116" s="531"/>
      <c r="I116" s="531"/>
      <c r="J116" s="531"/>
      <c r="K116" s="532"/>
      <c r="L116" s="533"/>
      <c r="M116" s="534"/>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2"/>
      <c r="B117" s="491"/>
      <c r="C117" s="508"/>
      <c r="D117" s="484"/>
      <c r="E117" s="484"/>
      <c r="F117" s="484"/>
      <c r="G117" s="484"/>
      <c r="H117" s="484"/>
      <c r="I117" s="484"/>
      <c r="J117" s="484"/>
      <c r="K117" s="484"/>
      <c r="L117" s="484"/>
      <c r="M117" s="485"/>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7"/>
      <c r="B118" s="486">
        <f>B39</f>
        <v>111</v>
      </c>
      <c r="C118" s="502"/>
      <c r="D118" s="502"/>
      <c r="E118" s="502"/>
      <c r="F118" s="502"/>
      <c r="G118" s="531"/>
      <c r="H118" s="531"/>
      <c r="I118" s="531"/>
      <c r="J118" s="531"/>
      <c r="K118" s="532"/>
      <c r="L118" s="533"/>
      <c r="M118" s="534"/>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2"/>
      <c r="B119" s="491"/>
      <c r="C119" s="508"/>
      <c r="D119" s="508"/>
      <c r="E119" s="508"/>
      <c r="F119" s="508"/>
      <c r="G119" s="484"/>
      <c r="H119" s="484"/>
      <c r="I119" s="484"/>
      <c r="J119" s="484"/>
      <c r="K119" s="484"/>
      <c r="L119" s="484"/>
      <c r="M119" s="485"/>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1" customFormat="1" ht="15" thickTop="1">
      <c r="A120" s="541"/>
      <c r="B120" s="486">
        <f>B40</f>
        <v>111</v>
      </c>
      <c r="C120" s="471"/>
      <c r="D120" s="471"/>
      <c r="E120" s="471"/>
      <c r="F120" s="471"/>
      <c r="G120" s="503"/>
      <c r="H120" s="503"/>
      <c r="I120" s="503"/>
      <c r="J120" s="503"/>
      <c r="K120" s="503"/>
      <c r="L120" s="504"/>
      <c r="M120" s="505"/>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1" customFormat="1" ht="15.75" thickBot="1">
      <c r="A121" s="516"/>
      <c r="B121" s="647"/>
      <c r="C121" s="518"/>
      <c r="D121" s="518"/>
      <c r="E121" s="518"/>
      <c r="F121" s="518"/>
      <c r="G121" s="539"/>
      <c r="H121" s="539"/>
      <c r="I121" s="539"/>
      <c r="J121" s="539"/>
      <c r="K121" s="539"/>
      <c r="L121" s="539"/>
      <c r="M121" s="540"/>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2080</v>
      </c>
      <c r="C1" s="3775" t="s">
        <v>2081</v>
      </c>
      <c r="D1" s="3776"/>
      <c r="E1" s="3776"/>
      <c r="F1" s="3776"/>
      <c r="G1" s="3776"/>
      <c r="H1" s="3776"/>
      <c r="I1" s="3776"/>
      <c r="J1" s="3776"/>
      <c r="K1" s="3776"/>
      <c r="L1" s="3776"/>
      <c r="M1" s="3776"/>
      <c r="N1" s="3776"/>
      <c r="O1" s="3776"/>
      <c r="P1" s="3776"/>
      <c r="Q1" s="3776"/>
      <c r="R1" s="3776"/>
      <c r="S1" s="3777"/>
      <c r="T1" s="979" t="s">
        <v>2082</v>
      </c>
    </row>
    <row r="2" spans="1:45" s="654" customFormat="1">
      <c r="A2" s="980"/>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0"/>
      <c r="G3" s="1300"/>
      <c r="H3" s="1300"/>
      <c r="I3" s="1300"/>
      <c r="J3" s="1300"/>
      <c r="K3" s="1300"/>
      <c r="L3" s="1301"/>
      <c r="M3" s="1302"/>
      <c r="N3" s="1302"/>
      <c r="O3" s="1300"/>
      <c r="P3" s="1300"/>
      <c r="Q3" s="1300"/>
      <c r="R3" s="1300"/>
      <c r="S3" s="1303"/>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4"/>
      <c r="G4" s="1304"/>
      <c r="H4" s="1304"/>
      <c r="I4" s="1304"/>
      <c r="J4" s="1304"/>
      <c r="K4" s="1304"/>
      <c r="L4" s="1304"/>
      <c r="M4" s="1305"/>
      <c r="N4" s="1305"/>
      <c r="O4" s="1304"/>
      <c r="P4" s="1304"/>
      <c r="Q4" s="1304"/>
      <c r="R4" s="1304"/>
      <c r="S4" s="1306"/>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1" t="s">
        <v>2084</v>
      </c>
      <c r="C5" s="991"/>
      <c r="D5" s="992"/>
      <c r="E5" s="992"/>
      <c r="F5" s="1307"/>
      <c r="G5" s="1307"/>
      <c r="H5" s="1307"/>
      <c r="I5" s="1307"/>
      <c r="J5" s="1307"/>
      <c r="K5" s="1307"/>
      <c r="L5" s="1308"/>
      <c r="M5" s="1309"/>
      <c r="N5" s="1309"/>
      <c r="O5" s="1307"/>
      <c r="P5" s="1307"/>
      <c r="Q5" s="1307"/>
      <c r="R5" s="1307"/>
      <c r="S5" s="1310"/>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2" t="s">
        <v>2085</v>
      </c>
      <c r="C7" s="900"/>
      <c r="D7" s="894"/>
      <c r="E7" s="894"/>
      <c r="F7" s="1312"/>
      <c r="G7" s="1312"/>
      <c r="H7" s="1312"/>
      <c r="I7" s="1312"/>
      <c r="J7" s="1312"/>
      <c r="K7" s="1312"/>
      <c r="L7" s="1312"/>
      <c r="M7" s="1313"/>
      <c r="N7" s="1314"/>
      <c r="O7" s="1315"/>
      <c r="P7" s="1316"/>
      <c r="Q7" s="1317"/>
      <c r="R7" s="1318"/>
      <c r="S7" s="1319"/>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2" t="s">
        <v>2086</v>
      </c>
      <c r="C9" s="900"/>
      <c r="D9" s="894"/>
      <c r="E9" s="894"/>
      <c r="F9" s="1312"/>
      <c r="G9" s="1312"/>
      <c r="H9" s="1312"/>
      <c r="I9" s="1312"/>
      <c r="J9" s="1312"/>
      <c r="K9" s="1312"/>
      <c r="L9" s="1320"/>
      <c r="M9" s="1313"/>
      <c r="N9" s="1314"/>
      <c r="O9" s="1315"/>
      <c r="P9" s="1316"/>
      <c r="Q9" s="1317"/>
      <c r="R9" s="1318"/>
      <c r="S9" s="1319"/>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1" t="s">
        <v>2087</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1" t="s">
        <v>2088</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1" t="s">
        <v>2089</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3" t="s">
        <v>2090</v>
      </c>
      <c r="B17" s="2144" t="s">
        <v>2091</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5" t="s">
        <v>2092</v>
      </c>
      <c r="E19" s="1335"/>
      <c r="F19" s="1335"/>
      <c r="G19" s="1335"/>
      <c r="H19" s="1055"/>
      <c r="I19" s="158"/>
      <c r="J19" s="158"/>
      <c r="K19" s="158"/>
      <c r="L19" s="158"/>
      <c r="M19" s="158"/>
      <c r="N19" s="158"/>
      <c r="O19" s="158"/>
      <c r="P19" s="158"/>
      <c r="Q19" s="158"/>
      <c r="R19" s="716"/>
      <c r="S19" s="128"/>
    </row>
    <row r="20" spans="1:45" ht="16.5" thickBot="1">
      <c r="A20" s="661" t="s">
        <v>2093</v>
      </c>
      <c r="B20" s="293" t="e">
        <f ca="1">IF(D20="——",S22,S22-F20)</f>
        <v>#REF!</v>
      </c>
      <c r="C20" s="158"/>
      <c r="D20" s="2146"/>
      <c r="E20" s="1336"/>
      <c r="F20" s="979" t="e">
        <f ca="1">SUMIF(INDIRECT("'"&amp;H20&amp;"'"&amp;"!A:A"),"承租人权益价值",INDIRECT("'"&amp;H20&amp;"'"&amp;"!c:c"))</f>
        <v>#REF!</v>
      </c>
      <c r="G20" s="979" t="s">
        <v>2094</v>
      </c>
      <c r="H20" s="2147"/>
      <c r="I20" s="158"/>
      <c r="J20" s="158"/>
      <c r="K20" s="158"/>
      <c r="L20" s="158"/>
      <c r="M20" s="158"/>
      <c r="N20" s="158"/>
      <c r="O20" s="158"/>
      <c r="P20" s="158"/>
      <c r="Q20" s="158"/>
      <c r="R20" s="716"/>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2096</v>
      </c>
      <c r="B22" s="21">
        <f>SUM(B24:B10000)</f>
        <v>0</v>
      </c>
      <c r="C22" s="3772" t="s">
        <v>27</v>
      </c>
      <c r="D22" s="3773"/>
      <c r="E22" s="3773"/>
      <c r="F22" s="3773"/>
      <c r="G22" s="3773"/>
      <c r="H22" s="3773"/>
      <c r="I22" s="3773"/>
      <c r="J22" s="3773"/>
      <c r="K22" s="3773"/>
      <c r="L22" s="3773"/>
      <c r="M22" s="3773"/>
      <c r="N22" s="3773"/>
      <c r="O22" s="3773"/>
      <c r="P22" s="3773"/>
      <c r="Q22" s="3774"/>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2102</v>
      </c>
      <c r="B24" s="664"/>
      <c r="C24" s="2805">
        <v>1</v>
      </c>
      <c r="D24" s="2806"/>
      <c r="E24" s="2805">
        <v>1</v>
      </c>
      <c r="F24" s="2806"/>
      <c r="G24" s="2805">
        <v>1</v>
      </c>
      <c r="H24" s="2806"/>
      <c r="I24" s="2805">
        <v>1</v>
      </c>
      <c r="J24" s="2806"/>
      <c r="K24" s="2805">
        <v>1</v>
      </c>
      <c r="L24" s="2806"/>
      <c r="M24" s="2805">
        <v>1</v>
      </c>
      <c r="N24" s="2806"/>
      <c r="O24" s="2805">
        <v>1</v>
      </c>
      <c r="P24" s="2806"/>
      <c r="Q24" s="2805">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2078</v>
      </c>
      <c r="B1" s="2142"/>
      <c r="C1" s="2142"/>
      <c r="D1" s="2142"/>
      <c r="E1" s="2142"/>
      <c r="F1" s="2788"/>
      <c r="G1" s="2788"/>
      <c r="H1" s="2788"/>
      <c r="I1" s="2788"/>
      <c r="J1" s="2788"/>
      <c r="K1" s="2788"/>
      <c r="L1" s="2788"/>
      <c r="M1" s="2788"/>
      <c r="N1" s="2788"/>
      <c r="O1" s="2788"/>
      <c r="P1" s="2788"/>
    </row>
    <row r="2" spans="1:16" ht="15.75">
      <c r="A2" s="2140" t="s">
        <v>2070</v>
      </c>
      <c r="B2" s="2597">
        <f ca="1">SUMIF(B6:B13,"&lt;&gt;#ref!",B6:B13)</f>
        <v>11432</v>
      </c>
      <c r="C2" s="2140" t="s">
        <v>2071</v>
      </c>
      <c r="D2" s="2140" t="s">
        <v>2072</v>
      </c>
      <c r="E2" s="2607">
        <f ca="1">SUMIF(E6:E13,"&lt;&gt;#ref!",E6:E13)</f>
        <v>39425.990000000005</v>
      </c>
      <c r="F2" s="2788"/>
      <c r="G2" s="2788"/>
      <c r="H2" s="2788"/>
      <c r="I2" s="2788"/>
      <c r="J2" s="2788"/>
      <c r="K2" s="2788"/>
      <c r="L2" s="2788"/>
      <c r="M2" s="2788"/>
      <c r="N2" s="2788"/>
      <c r="O2" s="2788"/>
      <c r="P2" s="2788"/>
    </row>
    <row r="3" spans="1:16" ht="15.75">
      <c r="A3" s="2140" t="s">
        <v>2073</v>
      </c>
      <c r="B3" s="2597">
        <f ca="1">ROUND(B2*10000/E2,0)</f>
        <v>2900</v>
      </c>
      <c r="C3" s="2140" t="s">
        <v>2079</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2074</v>
      </c>
      <c r="B5" s="2605" t="s">
        <v>2075</v>
      </c>
      <c r="C5" s="2141"/>
      <c r="D5" s="2788"/>
      <c r="E5" s="2606" t="s">
        <v>2076</v>
      </c>
      <c r="F5" s="2788"/>
      <c r="G5" s="2788"/>
      <c r="H5" s="2788"/>
      <c r="I5" s="2788"/>
      <c r="J5" s="2788"/>
      <c r="K5" s="2788"/>
      <c r="L5" s="2788"/>
      <c r="M5" s="2788"/>
      <c r="N5" s="2788"/>
      <c r="O5" s="2788"/>
      <c r="P5" s="2788"/>
    </row>
    <row r="6" spans="1:16" ht="15.75">
      <c r="A6" s="2604" t="s">
        <v>2077</v>
      </c>
      <c r="B6" s="2597">
        <f ca="1">SUMIF(INDIRECT("'"&amp;A6&amp;"'"&amp;"!A:A"),"总价",INDIRECT("'"&amp;A6&amp;"'"&amp;"!B:B"))</f>
        <v>11432</v>
      </c>
      <c r="C6" s="2140" t="s">
        <v>2071</v>
      </c>
      <c r="D6" s="2788"/>
      <c r="E6" s="2607">
        <f ca="1">SUMIF(INDIRECT("'"&amp;A6&amp;"'"&amp;"!C:C"),"建筑面积",INDIRECT("'"&amp;A6&amp;"'"&amp;"!D:D"))</f>
        <v>39425.990000000005</v>
      </c>
      <c r="F6" s="2788"/>
      <c r="G6" s="2788"/>
      <c r="H6" s="2788"/>
      <c r="I6" s="2788"/>
      <c r="J6" s="2788"/>
      <c r="K6" s="2788"/>
      <c r="L6" s="2788"/>
      <c r="M6" s="2788"/>
      <c r="N6" s="2788"/>
      <c r="O6" s="2788"/>
      <c r="P6" s="2788"/>
    </row>
    <row r="7" spans="1:16" ht="15.75">
      <c r="A7" s="2604"/>
      <c r="B7" s="2597" t="e">
        <f ca="1">SUMIF(INDIRECT("'"&amp;A7&amp;"'"&amp;"!A:A"),"总价",INDIRECT("'"&amp;A7&amp;"'"&amp;"!B:B"))</f>
        <v>#REF!</v>
      </c>
      <c r="C7" s="2140" t="s">
        <v>2071</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2071</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2071</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2071</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2071</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2071</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2071</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101" sqref="C101"/>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5" t="s">
        <v>1923</v>
      </c>
      <c r="B1" s="196"/>
      <c r="C1" s="200" t="s">
        <v>1924</v>
      </c>
      <c r="D1" s="341">
        <f>SUM(D33:D34,D37:D42)</f>
        <v>39425.990000000005</v>
      </c>
      <c r="E1" s="1990"/>
      <c r="F1" s="1990"/>
      <c r="G1" s="1990"/>
      <c r="H1" s="1990"/>
      <c r="I1" s="1990"/>
      <c r="J1" s="1990"/>
      <c r="K1" s="1115"/>
      <c r="L1" s="1991" t="s">
        <v>1925</v>
      </c>
      <c r="M1" s="861">
        <f>SUMPRODUCT((区片价!B5:B9=I2)*(区片价!C3:G3=E2)*(区片价!C5:G9))</f>
        <v>0</v>
      </c>
      <c r="N1" s="864">
        <f>SUMPRODUCT((因素修正幅度!B5:B9=I2)*(因素修正幅度!C3:G3=E2)*(因素修正幅度!C5:G9))</f>
        <v>0</v>
      </c>
      <c r="O1" s="1992"/>
      <c r="P1" s="1992"/>
      <c r="Q1" s="1115"/>
      <c r="R1" s="1207" t="s">
        <v>1926</v>
      </c>
      <c r="S1" s="1207" t="s">
        <v>1927</v>
      </c>
      <c r="T1" s="1207" t="s">
        <v>1928</v>
      </c>
      <c r="U1" s="1207" t="s">
        <v>1929</v>
      </c>
      <c r="V1" s="1207" t="s">
        <v>1930</v>
      </c>
      <c r="W1" s="1211"/>
      <c r="X1" s="1211"/>
      <c r="Y1" s="1211"/>
      <c r="Z1" s="1211"/>
      <c r="AA1" s="1211"/>
      <c r="AB1" s="1211"/>
      <c r="AC1" s="1212"/>
      <c r="AD1" s="1213"/>
      <c r="AE1" s="1213"/>
      <c r="AF1" s="1213"/>
      <c r="AG1" s="1213"/>
      <c r="AH1" s="1213"/>
      <c r="AI1" s="1213"/>
      <c r="AJ1" s="1214"/>
    </row>
    <row r="2" spans="1:36" ht="15.75">
      <c r="A2" s="200" t="s">
        <v>1931</v>
      </c>
      <c r="B2" s="203">
        <f>C30</f>
        <v>11432</v>
      </c>
      <c r="C2" s="1994" t="s">
        <v>1932</v>
      </c>
      <c r="D2" s="1995" t="s">
        <v>1933</v>
      </c>
      <c r="E2" s="3417" t="s">
        <v>3603</v>
      </c>
      <c r="F2" s="1995" t="s">
        <v>1934</v>
      </c>
      <c r="G2" s="1996" t="str">
        <f>IF(E2="商业",项目基本情况!B37,IF(E2="办公",项目基本情况!C37,IF(E2="住宅",项目基本情况!D37,IF(E2="工业",项目基本情况!E37,项目基本情况!F37))))</f>
        <v>七级</v>
      </c>
      <c r="H2" s="1995" t="s">
        <v>1935</v>
      </c>
      <c r="I2" s="1996" t="str">
        <f>IF(E2="商业",项目基本情况!B38,IF(E2="办公",项目基本情况!C38,IF(E2="住宅",项目基本情况!D38,IF(E2="工业",项目基本情况!E38,项目基本情况!F38))))</f>
        <v>Ⅶ-门1</v>
      </c>
      <c r="J2" s="1997"/>
      <c r="K2" s="1115"/>
      <c r="L2" s="1998" t="s">
        <v>1936</v>
      </c>
      <c r="M2" s="862">
        <f>SUMPRODUCT((区片价!B10:B29=I2)*(区片价!C3:G3=E2)*(区片价!C10:G29))</f>
        <v>0</v>
      </c>
      <c r="N2" s="864">
        <f>SUMPRODUCT((因素修正幅度!B10:B29=I2)*(因素修正幅度!C3:G3=E2)*(因素修正幅度!C10:G29))</f>
        <v>0</v>
      </c>
      <c r="O2" s="1115"/>
      <c r="P2" s="1115"/>
      <c r="Q2" s="1115"/>
      <c r="R2" s="1207">
        <v>1</v>
      </c>
      <c r="S2" s="3356">
        <f>ROUND(SUMPRODUCT((B106:B110=R2)*(C105:N105=G2)*(C106:N110)),4)</f>
        <v>1.5019</v>
      </c>
      <c r="T2" s="3356">
        <f t="shared" ref="T2:T16" si="0">ROUND($C$5*$C$22*$C$23*$C$24*S2*$C$28,0)</f>
        <v>6065</v>
      </c>
      <c r="U2" s="1208"/>
      <c r="V2" s="3356">
        <f>ROUND(T2*U2/10000,0)</f>
        <v>0</v>
      </c>
      <c r="W2" s="1211"/>
      <c r="X2" s="1211"/>
      <c r="Y2" s="1211"/>
      <c r="Z2" s="1211"/>
      <c r="AA2" s="1211"/>
      <c r="AB2" s="1211"/>
      <c r="AC2" s="1212"/>
      <c r="AD2" s="1213"/>
      <c r="AE2" s="1213"/>
      <c r="AF2" s="1213"/>
      <c r="AG2" s="1213"/>
      <c r="AH2" s="1213"/>
      <c r="AI2" s="1213"/>
      <c r="AJ2" s="1214"/>
    </row>
    <row r="3" spans="1:36" ht="15.75">
      <c r="A3" s="202" t="s">
        <v>1937</v>
      </c>
      <c r="B3" s="203">
        <f>ROUND(B2*10000/D1,0)</f>
        <v>2900</v>
      </c>
      <c r="C3" s="1994" t="s">
        <v>1938</v>
      </c>
      <c r="D3" s="1995" t="s">
        <v>1939</v>
      </c>
      <c r="E3" s="3415" t="s">
        <v>2459</v>
      </c>
      <c r="F3" s="1999" t="s">
        <v>3429</v>
      </c>
      <c r="G3" s="750">
        <f>IF(F3="宗地容积率",'数据-汇总表'!I4,IF(F3="估价对象容积率",'数据-汇总表'!I6,'数据-汇总表'!I7))</f>
        <v>5.16</v>
      </c>
      <c r="H3" s="169" t="s">
        <v>1940</v>
      </c>
      <c r="I3" s="773"/>
      <c r="J3" s="1997" t="s">
        <v>1941</v>
      </c>
      <c r="K3" s="1115"/>
      <c r="L3" s="1998" t="s">
        <v>1942</v>
      </c>
      <c r="M3" s="862">
        <f>SUMPRODUCT((区片价!B30:B54=I2)*(区片价!C3:G3=E2)*(区片价!C30:G54))</f>
        <v>0</v>
      </c>
      <c r="N3" s="864">
        <f>SUMPRODUCT((因素修正幅度!B30:B54=I2)*(因素修正幅度!C3:G3=E2)*(因素修正幅度!C30:G54))</f>
        <v>0</v>
      </c>
      <c r="O3" s="1115"/>
      <c r="P3" s="1115"/>
      <c r="Q3" s="1115"/>
      <c r="R3" s="1207">
        <v>2</v>
      </c>
      <c r="S3" s="3356">
        <f>ROUND(SUMPRODUCT((B106:B110=R3)*(C105:N105=G2)*(C106:N110)),4)</f>
        <v>1.1838</v>
      </c>
      <c r="T3" s="3356">
        <f t="shared" si="0"/>
        <v>4781</v>
      </c>
      <c r="U3" s="1208"/>
      <c r="V3" s="3356">
        <f t="shared" ref="V3:V16" si="1">ROUND(T3*U3/10000,0)</f>
        <v>0</v>
      </c>
      <c r="W3" s="1211"/>
      <c r="X3" s="1211"/>
      <c r="Y3" s="1211"/>
      <c r="Z3" s="1211"/>
      <c r="AA3" s="1211"/>
      <c r="AB3" s="1211"/>
      <c r="AC3" s="1212"/>
      <c r="AD3" s="1213"/>
      <c r="AE3" s="1213"/>
      <c r="AF3" s="1213"/>
      <c r="AG3" s="1213"/>
      <c r="AH3" s="1213"/>
      <c r="AI3" s="1213"/>
      <c r="AJ3" s="1214"/>
    </row>
    <row r="4" spans="1:36" ht="15.75">
      <c r="A4" s="3785"/>
      <c r="B4" s="3786"/>
      <c r="C4" s="3786"/>
      <c r="D4" s="3787"/>
      <c r="E4" s="3787"/>
      <c r="F4" s="3787"/>
      <c r="G4" s="3787"/>
      <c r="H4" s="3787"/>
      <c r="I4" s="3787"/>
      <c r="J4" s="3788"/>
      <c r="K4" s="1115"/>
      <c r="L4" s="1998" t="s">
        <v>1943</v>
      </c>
      <c r="M4" s="862">
        <f>SUMPRODUCT((区片价!B55:B86=I2)*(区片价!C3:G3=E2)*(区片价!C55:G86))</f>
        <v>0</v>
      </c>
      <c r="N4" s="864">
        <f>SUMPRODUCT((因素修正幅度!B55:B86=I2)*(因素修正幅度!C3:G3=E2)*(因素修正幅度!C55:G86))</f>
        <v>0</v>
      </c>
      <c r="O4" s="1115"/>
      <c r="P4" s="1115"/>
      <c r="Q4" s="1115"/>
      <c r="R4" s="1207">
        <v>3</v>
      </c>
      <c r="S4" s="3356">
        <f>ROUND(SUMPRODUCT((B106:B110=R4)*(C105:N105=G2)*(C106:N110)),4)</f>
        <v>1.0004999999999999</v>
      </c>
      <c r="T4" s="3356">
        <f t="shared" si="0"/>
        <v>4040</v>
      </c>
      <c r="U4" s="1208"/>
      <c r="V4" s="3356">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1944</v>
      </c>
      <c r="C5" s="751">
        <f>ROUND(IF(E2="商业",C6*C7*C17+C20,(IF(E2="住宅",C6*C13*C17+C20,IF(E2="办公",C6*C12*C17+C20,C6+C20)))),0)</f>
        <v>5450</v>
      </c>
      <c r="D5" s="1334">
        <f>ROUND(C6*C17+C20,0)</f>
        <v>5450</v>
      </c>
      <c r="E5" s="1334"/>
      <c r="F5" s="2002"/>
      <c r="G5" s="2003"/>
      <c r="H5" s="2003"/>
      <c r="I5" s="2003"/>
      <c r="J5" s="2004"/>
      <c r="K5" s="2005"/>
      <c r="L5" s="1998" t="s">
        <v>1945</v>
      </c>
      <c r="M5" s="862">
        <f>SUMPRODUCT((区片价!B87:B126=I2)*(区片价!C3:G3=E2)*(区片价!C87:G126))</f>
        <v>0</v>
      </c>
      <c r="N5" s="864">
        <f>SUMPRODUCT((因素修正幅度!B87:B126=I2)*(因素修正幅度!C3:G3=E2)*(因素修正幅度!C87:G126))</f>
        <v>0</v>
      </c>
      <c r="O5" s="1115"/>
      <c r="P5" s="1115"/>
      <c r="Q5" s="1115"/>
      <c r="R5" s="1207">
        <v>4</v>
      </c>
      <c r="S5" s="3356">
        <f>ROUND(SUMPRODUCT((B106:B110=R5)*(C105:N105=G2)*(C106:N110)),4)</f>
        <v>0.88239999999999996</v>
      </c>
      <c r="T5" s="3356">
        <f t="shared" si="0"/>
        <v>3563</v>
      </c>
      <c r="U5" s="1208"/>
      <c r="V5" s="3356">
        <f t="shared" si="1"/>
        <v>0</v>
      </c>
      <c r="W5" s="1211"/>
      <c r="X5" s="1211"/>
      <c r="Y5" s="1211"/>
      <c r="Z5" s="1211"/>
      <c r="AA5" s="1211"/>
      <c r="AB5" s="1211"/>
      <c r="AC5" s="2006"/>
      <c r="AD5" s="2007"/>
      <c r="AE5" s="2007"/>
      <c r="AF5" s="2007"/>
      <c r="AG5" s="2007"/>
      <c r="AH5" s="2007"/>
      <c r="AI5" s="2007"/>
      <c r="AJ5" s="2008"/>
    </row>
    <row r="6" spans="1:36" ht="15.75" thickBot="1">
      <c r="A6" s="2010" t="s">
        <v>1946</v>
      </c>
      <c r="B6" s="2011" t="s">
        <v>1947</v>
      </c>
      <c r="C6" s="752">
        <f>SUMIF(L1:L12,G2,M1:M12)</f>
        <v>5450</v>
      </c>
      <c r="D6" s="2012"/>
      <c r="E6" s="2013"/>
      <c r="F6" s="2013"/>
      <c r="G6" s="2014"/>
      <c r="H6" s="2014"/>
      <c r="I6" s="2014"/>
      <c r="J6" s="2015"/>
      <c r="K6" s="1379"/>
      <c r="L6" s="1998" t="s">
        <v>1948</v>
      </c>
      <c r="M6" s="862">
        <f>SUMPRODUCT((区片价!B127:B189=I2)*(区片价!C3:G3=E2)*(区片价!C127:G189))</f>
        <v>0</v>
      </c>
      <c r="N6" s="864">
        <f>SUMPRODUCT((因素修正幅度!B127:B189=I2)*(因素修正幅度!C3:G3=E2)*(因素修正幅度!C127:G189))</f>
        <v>0</v>
      </c>
      <c r="O6" s="1115"/>
      <c r="P6" s="1115"/>
      <c r="Q6" s="1115"/>
      <c r="R6" s="1207">
        <v>5</v>
      </c>
      <c r="S6" s="3356">
        <f>ROUND(SUMPRODUCT((B106:B110=R6)*(C105:N105=G2)*(C106:N110)),4)</f>
        <v>0.84799999999999998</v>
      </c>
      <c r="T6" s="3356">
        <f t="shared" si="0"/>
        <v>3425</v>
      </c>
      <c r="U6" s="1208"/>
      <c r="V6" s="3356">
        <f t="shared" si="1"/>
        <v>0</v>
      </c>
      <c r="W6" s="1211"/>
      <c r="X6" s="1211"/>
      <c r="Y6" s="1211"/>
      <c r="Z6" s="1211"/>
      <c r="AA6" s="1211"/>
      <c r="AB6" s="1211"/>
      <c r="AC6" s="2006"/>
      <c r="AD6" s="2007"/>
      <c r="AE6" s="2007"/>
      <c r="AF6" s="2007"/>
      <c r="AG6" s="2007"/>
      <c r="AH6" s="2007"/>
      <c r="AI6" s="2007"/>
      <c r="AJ6" s="2008"/>
    </row>
    <row r="7" spans="1:36" ht="24.75" thickBot="1">
      <c r="A7" s="3299" t="s">
        <v>3238</v>
      </c>
      <c r="B7" s="2016" t="s">
        <v>1949</v>
      </c>
      <c r="C7" s="753">
        <f>IF(C8="不临65条商业街",1,ROUND(1+(1.6*E8+1.2*E9+0.8*E10+0.4*E11)*C9,4))</f>
        <v>1</v>
      </c>
      <c r="D7" s="2017" t="s">
        <v>1950</v>
      </c>
      <c r="E7" s="774"/>
      <c r="F7" s="2018"/>
      <c r="G7" s="2019"/>
      <c r="H7" s="2019"/>
      <c r="I7" s="2019"/>
      <c r="J7" s="2020"/>
      <c r="K7" s="1379"/>
      <c r="L7" s="1998" t="s">
        <v>1951</v>
      </c>
      <c r="M7" s="862">
        <f>SUMPRODUCT((区片价!B190:B233=I2)*(区片价!C3:G3=E2)*(区片价!C190:G233))</f>
        <v>5450</v>
      </c>
      <c r="N7" s="864">
        <f>SUMPRODUCT((因素修正幅度!B190:B233=I2)*(因素修正幅度!C3:G3=E2)*(因素修正幅度!C190:G233))</f>
        <v>0.13</v>
      </c>
      <c r="O7" s="1115"/>
      <c r="P7" s="1115"/>
      <c r="Q7" s="1115"/>
      <c r="R7" s="1207">
        <v>6</v>
      </c>
      <c r="S7" s="3414"/>
      <c r="T7" s="3356">
        <f t="shared" si="0"/>
        <v>0</v>
      </c>
      <c r="U7" s="1208"/>
      <c r="V7" s="3356">
        <f t="shared" si="1"/>
        <v>0</v>
      </c>
      <c r="W7" s="1353" t="s">
        <v>1952</v>
      </c>
      <c r="X7" s="1209" t="str">
        <f>G2</f>
        <v>七级</v>
      </c>
      <c r="Y7" s="1209" t="s">
        <v>1953</v>
      </c>
      <c r="Z7" s="1210">
        <f>G3</f>
        <v>5.16</v>
      </c>
      <c r="AA7" s="1211"/>
      <c r="AB7" s="1211"/>
      <c r="AC7" s="1212"/>
      <c r="AD7" s="1213"/>
      <c r="AE7" s="1213"/>
      <c r="AF7" s="1213"/>
      <c r="AG7" s="1213"/>
      <c r="AH7" s="1213"/>
      <c r="AI7" s="1213"/>
      <c r="AJ7" s="1214"/>
    </row>
    <row r="8" spans="1:36" ht="25.5">
      <c r="A8" s="3294"/>
      <c r="B8" s="169" t="s">
        <v>1954</v>
      </c>
      <c r="C8" s="2021" t="s">
        <v>3430</v>
      </c>
      <c r="D8" s="754" t="s">
        <v>112</v>
      </c>
      <c r="E8" s="755" t="e">
        <f>ROUND(C11/E7,4)</f>
        <v>#DIV/0!</v>
      </c>
      <c r="F8" s="2022" t="s">
        <v>1955</v>
      </c>
      <c r="G8" s="2023"/>
      <c r="H8" s="2023"/>
      <c r="I8" s="2023"/>
      <c r="J8" s="2024"/>
      <c r="K8" s="1115"/>
      <c r="L8" s="1998" t="s">
        <v>1956</v>
      </c>
      <c r="M8" s="862">
        <f>SUMPRODUCT((区片价!B234:B276=I2)*(区片价!C3:G3=E2)*(区片价!C234:G276))</f>
        <v>0</v>
      </c>
      <c r="N8" s="864">
        <f>SUMPRODUCT((因素修正幅度!B234:B276=I2)*(因素修正幅度!C3:G3=E2)*(因素修正幅度!C234:G276))</f>
        <v>0</v>
      </c>
      <c r="O8" s="1115"/>
      <c r="P8" s="1115"/>
      <c r="Q8" s="1115"/>
      <c r="R8" s="1207">
        <v>7</v>
      </c>
      <c r="S8" s="1208"/>
      <c r="T8" s="3356">
        <f t="shared" si="0"/>
        <v>0</v>
      </c>
      <c r="U8" s="1208"/>
      <c r="V8" s="3356">
        <f t="shared" si="1"/>
        <v>0</v>
      </c>
      <c r="W8" s="3782" t="s">
        <v>1957</v>
      </c>
      <c r="X8" s="3783"/>
      <c r="Y8" s="1215" t="s">
        <v>1958</v>
      </c>
      <c r="Z8" s="1215" t="s">
        <v>1959</v>
      </c>
      <c r="AA8" s="1215" t="s">
        <v>1960</v>
      </c>
      <c r="AB8" s="1215" t="s">
        <v>1961</v>
      </c>
      <c r="AC8" s="1215" t="s">
        <v>1962</v>
      </c>
      <c r="AD8" s="1215" t="s">
        <v>1963</v>
      </c>
      <c r="AE8" s="1215" t="s">
        <v>1964</v>
      </c>
      <c r="AF8" s="1215" t="s">
        <v>1965</v>
      </c>
      <c r="AG8" s="1215" t="s">
        <v>1966</v>
      </c>
      <c r="AH8" s="1215" t="s">
        <v>1967</v>
      </c>
      <c r="AI8" s="1215" t="s">
        <v>1968</v>
      </c>
      <c r="AJ8" s="1215" t="s">
        <v>1969</v>
      </c>
    </row>
    <row r="9" spans="1:36" ht="15">
      <c r="A9" s="3294"/>
      <c r="B9" s="169" t="s">
        <v>1970</v>
      </c>
      <c r="C9" s="756">
        <f>SUMIF(修正!C71:C138,C8,修正!E71:E138)</f>
        <v>0</v>
      </c>
      <c r="D9" s="170" t="s">
        <v>113</v>
      </c>
      <c r="E9" s="170" t="e">
        <f>ROUND(C11/E7,4)</f>
        <v>#DIV/0!</v>
      </c>
      <c r="F9" s="2022" t="s">
        <v>1971</v>
      </c>
      <c r="G9" s="2023"/>
      <c r="H9" s="2023"/>
      <c r="I9" s="2023"/>
      <c r="J9" s="2024"/>
      <c r="K9" s="1115"/>
      <c r="L9" s="1998" t="s">
        <v>1972</v>
      </c>
      <c r="M9" s="862">
        <f>SUMPRODUCT((区片价!B277:B326=I2)*(区片价!C3:G3=E2)*(区片价!C277:G326))</f>
        <v>0</v>
      </c>
      <c r="N9" s="864">
        <f>SUMPRODUCT((因素修正幅度!B277:B326=I2)*(因素修正幅度!C3:G3=E2)*(因素修正幅度!C277:G326))</f>
        <v>0</v>
      </c>
      <c r="O9" s="1115"/>
      <c r="P9" s="1115"/>
      <c r="Q9" s="1115"/>
      <c r="R9" s="1207">
        <v>8</v>
      </c>
      <c r="S9" s="1208"/>
      <c r="T9" s="3356">
        <f t="shared" si="0"/>
        <v>0</v>
      </c>
      <c r="U9" s="1208"/>
      <c r="V9" s="3356">
        <f t="shared" si="1"/>
        <v>0</v>
      </c>
      <c r="W9" s="3784"/>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69" t="s">
        <v>1973</v>
      </c>
      <c r="C10" s="170">
        <f>SUMIF(修正!C71:C138,C8,修正!F71:F138)</f>
        <v>0</v>
      </c>
      <c r="D10" s="170" t="s">
        <v>114</v>
      </c>
      <c r="E10" s="170" t="e">
        <f>ROUND(C11/E7,4)</f>
        <v>#DIV/0!</v>
      </c>
      <c r="F10" s="2022" t="s">
        <v>1974</v>
      </c>
      <c r="G10" s="2023"/>
      <c r="H10" s="2023"/>
      <c r="I10" s="2023"/>
      <c r="J10" s="2024"/>
      <c r="K10" s="1115"/>
      <c r="L10" s="1998" t="s">
        <v>1975</v>
      </c>
      <c r="M10" s="862">
        <f>SUMPRODUCT((区片价!B327:B357=I2)*(区片价!C3:G3=E2)*(区片价!C327:G357))</f>
        <v>0</v>
      </c>
      <c r="N10" s="864">
        <f>SUMPRODUCT((因素修正幅度!B327:B357=I2)*(因素修正幅度!C3:G3=E2)*(因素修正幅度!C327:G357))</f>
        <v>0</v>
      </c>
      <c r="O10" s="1115"/>
      <c r="P10" s="1115"/>
      <c r="Q10" s="1115"/>
      <c r="R10" s="1207">
        <v>9</v>
      </c>
      <c r="S10" s="1208"/>
      <c r="T10" s="3356">
        <f t="shared" si="0"/>
        <v>0</v>
      </c>
      <c r="U10" s="1208"/>
      <c r="V10" s="3356">
        <f t="shared" si="1"/>
        <v>0</v>
      </c>
      <c r="W10" s="378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1976</v>
      </c>
      <c r="C11" s="757">
        <f>C10/4</f>
        <v>0</v>
      </c>
      <c r="D11" s="757" t="s">
        <v>115</v>
      </c>
      <c r="E11" s="757" t="e">
        <f>ROUND(C11/E7,4)</f>
        <v>#DIV/0!</v>
      </c>
      <c r="F11" s="2026" t="s">
        <v>1977</v>
      </c>
      <c r="G11" s="2027"/>
      <c r="H11" s="2027"/>
      <c r="I11" s="2027"/>
      <c r="J11" s="2028"/>
      <c r="K11" s="1115"/>
      <c r="L11" s="1998" t="s">
        <v>1978</v>
      </c>
      <c r="M11" s="862">
        <f>SUMPRODUCT((区片价!B358:B377=I2)*(区片价!C3:G3=E2)*(区片价!C358:G377))</f>
        <v>0</v>
      </c>
      <c r="N11" s="864">
        <f>SUMPRODUCT((因素修正幅度!B358:B377=I2)*(因素修正幅度!C3:G3=E2)*(因素修正幅度!C358:G377))</f>
        <v>0</v>
      </c>
      <c r="O11" s="1115"/>
      <c r="P11" s="1115"/>
      <c r="Q11" s="1115"/>
      <c r="R11" s="1207">
        <v>10</v>
      </c>
      <c r="S11" s="1208"/>
      <c r="T11" s="3356">
        <f t="shared" si="0"/>
        <v>0</v>
      </c>
      <c r="U11" s="1208"/>
      <c r="V11" s="3356">
        <f t="shared" si="1"/>
        <v>0</v>
      </c>
      <c r="W11" s="1211"/>
      <c r="X11" s="1211"/>
      <c r="Y11" s="1211"/>
      <c r="Z11" s="1211"/>
      <c r="AA11" s="1211"/>
      <c r="AB11" s="1211"/>
      <c r="AC11" s="1212"/>
      <c r="AD11" s="2784"/>
      <c r="AE11" s="2784"/>
      <c r="AF11" s="2784"/>
      <c r="AG11" s="2784"/>
      <c r="AH11" s="2784"/>
      <c r="AI11" s="2784"/>
      <c r="AJ11" s="2785"/>
    </row>
    <row r="12" spans="1:36" ht="25.5" thickBot="1">
      <c r="A12" s="3299" t="s">
        <v>3239</v>
      </c>
      <c r="B12" s="3300" t="s">
        <v>3240</v>
      </c>
      <c r="C12" s="3301">
        <v>1</v>
      </c>
      <c r="D12" s="3302" t="s">
        <v>3241</v>
      </c>
      <c r="E12" s="3303" t="s">
        <v>3242</v>
      </c>
      <c r="F12" s="3304"/>
      <c r="G12" s="3305"/>
      <c r="H12" s="3305"/>
      <c r="I12" s="3305"/>
      <c r="J12" s="3306"/>
      <c r="K12" s="1115"/>
      <c r="L12" s="2034" t="s">
        <v>1981</v>
      </c>
      <c r="M12" s="863">
        <f>SUMPRODUCT((区片价!B378:B384=I2)*(区片价!C3:G3=E2)*(区片价!C378:G384))</f>
        <v>0</v>
      </c>
      <c r="N12" s="864">
        <f>SUMPRODUCT((因素修正幅度!B378:B384=I2)*(因素修正幅度!C3:G3=E2)*(因素修正幅度!C378:G384))</f>
        <v>0</v>
      </c>
      <c r="O12" s="1115"/>
      <c r="P12" s="1115"/>
      <c r="Q12" s="1115"/>
      <c r="R12" s="1207">
        <v>11</v>
      </c>
      <c r="S12" s="1208"/>
      <c r="T12" s="3356">
        <f t="shared" si="0"/>
        <v>0</v>
      </c>
      <c r="U12" s="1208"/>
      <c r="V12" s="3356">
        <f t="shared" si="1"/>
        <v>0</v>
      </c>
      <c r="W12" s="1211"/>
      <c r="X12" s="1211"/>
      <c r="Y12" s="1211"/>
      <c r="Z12" s="1211"/>
      <c r="AA12" s="1211"/>
      <c r="AB12" s="1211"/>
      <c r="AC12" s="1212"/>
      <c r="AD12" s="2784"/>
      <c r="AE12" s="2784"/>
      <c r="AF12" s="2784"/>
      <c r="AG12" s="2784"/>
      <c r="AH12" s="2784"/>
      <c r="AI12" s="2784"/>
      <c r="AJ12" s="2785"/>
    </row>
    <row r="13" spans="1:36" ht="15.75" thickBot="1">
      <c r="A13" s="3299" t="s">
        <v>3243</v>
      </c>
      <c r="B13" s="2029" t="s">
        <v>1979</v>
      </c>
      <c r="C13" s="753">
        <f>ROUND(C16*D16*E16*F16*G16*H16*I16*J16,4)</f>
        <v>0</v>
      </c>
      <c r="D13" s="2030" t="s">
        <v>1980</v>
      </c>
      <c r="E13" s="2031"/>
      <c r="F13" s="2031"/>
      <c r="G13" s="2032"/>
      <c r="H13" s="2032"/>
      <c r="I13" s="2032"/>
      <c r="J13" s="2033"/>
      <c r="K13" s="1115"/>
      <c r="L13" s="3295"/>
      <c r="M13" s="3296"/>
      <c r="N13" s="3297"/>
      <c r="O13" s="1115"/>
      <c r="P13" s="1115"/>
      <c r="Q13" s="1115"/>
      <c r="R13" s="1207">
        <v>12</v>
      </c>
      <c r="S13" s="1208"/>
      <c r="T13" s="3356">
        <f t="shared" si="0"/>
        <v>0</v>
      </c>
      <c r="U13" s="1208"/>
      <c r="V13" s="3356">
        <f t="shared" si="1"/>
        <v>0</v>
      </c>
      <c r="W13" s="1211"/>
      <c r="X13" s="1211"/>
      <c r="Y13" s="1211"/>
      <c r="Z13" s="1211"/>
      <c r="AA13" s="1211"/>
      <c r="AB13" s="1211"/>
      <c r="AC13" s="1212"/>
      <c r="AD13" s="2784"/>
      <c r="AE13" s="2784"/>
      <c r="AF13" s="2784"/>
      <c r="AG13" s="2784"/>
      <c r="AH13" s="2784"/>
      <c r="AI13" s="2784"/>
      <c r="AJ13" s="2785"/>
    </row>
    <row r="14" spans="1:36" ht="15">
      <c r="A14" s="3293"/>
      <c r="B14" s="2035" t="s">
        <v>1982</v>
      </c>
      <c r="C14" s="2036" t="s">
        <v>1983</v>
      </c>
      <c r="D14" s="1345" t="s">
        <v>1984</v>
      </c>
      <c r="E14" s="27" t="s">
        <v>1985</v>
      </c>
      <c r="F14" s="3307" t="s">
        <v>3244</v>
      </c>
      <c r="G14" s="3307" t="s">
        <v>3244</v>
      </c>
      <c r="H14" s="3307" t="s">
        <v>3244</v>
      </c>
      <c r="I14" s="3307" t="s">
        <v>3244</v>
      </c>
      <c r="J14" s="3307" t="s">
        <v>3244</v>
      </c>
      <c r="K14" s="1115"/>
      <c r="L14" s="1115"/>
      <c r="M14" s="1115"/>
      <c r="N14" s="1115"/>
      <c r="O14" s="1115"/>
      <c r="P14" s="1115"/>
      <c r="Q14" s="1115"/>
      <c r="R14" s="1207">
        <v>13</v>
      </c>
      <c r="S14" s="1208"/>
      <c r="T14" s="3356">
        <f t="shared" si="0"/>
        <v>0</v>
      </c>
      <c r="U14" s="1208"/>
      <c r="V14" s="3356">
        <f t="shared" si="1"/>
        <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3245</v>
      </c>
      <c r="G15" s="3309"/>
      <c r="H15" s="3310"/>
      <c r="I15" s="3311"/>
      <c r="J15" s="3312"/>
      <c r="K15" s="1115"/>
      <c r="L15" s="1115"/>
      <c r="M15" s="1115"/>
      <c r="N15" s="1115"/>
      <c r="O15" s="1115"/>
      <c r="P15" s="1115"/>
      <c r="Q15" s="1115"/>
      <c r="R15" s="1207">
        <v>14</v>
      </c>
      <c r="S15" s="1208"/>
      <c r="T15" s="3356">
        <f t="shared" si="0"/>
        <v>0</v>
      </c>
      <c r="U15" s="1208"/>
      <c r="V15" s="3356">
        <f t="shared" si="1"/>
        <v>0</v>
      </c>
      <c r="W15" s="1211"/>
      <c r="X15" s="1211"/>
      <c r="Y15" s="1211"/>
      <c r="Z15" s="1211"/>
      <c r="AA15" s="1211"/>
      <c r="AB15" s="1211"/>
      <c r="AC15" s="1212"/>
      <c r="AD15" s="2784"/>
      <c r="AE15" s="2784"/>
      <c r="AF15" s="2784"/>
      <c r="AG15" s="2784"/>
      <c r="AH15" s="2784"/>
      <c r="AI15" s="2784"/>
      <c r="AJ15" s="2785"/>
    </row>
    <row r="16" spans="1:36" ht="15.75" thickBot="1">
      <c r="A16" s="3293"/>
      <c r="B16" s="3315" t="s">
        <v>1986</v>
      </c>
      <c r="C16" s="3313"/>
      <c r="D16" s="3313"/>
      <c r="E16" s="3313"/>
      <c r="F16" s="3313">
        <v>1</v>
      </c>
      <c r="G16" s="3313">
        <v>1</v>
      </c>
      <c r="H16" s="3313">
        <v>1</v>
      </c>
      <c r="I16" s="3313">
        <v>1</v>
      </c>
      <c r="J16" s="3314">
        <v>1</v>
      </c>
      <c r="K16" s="1115"/>
      <c r="L16" s="1992"/>
      <c r="M16" s="1992"/>
      <c r="N16" s="1992"/>
      <c r="O16" s="1992"/>
      <c r="P16" s="1992"/>
      <c r="Q16" s="1115"/>
      <c r="R16" s="1207">
        <v>15</v>
      </c>
      <c r="S16" s="1208"/>
      <c r="T16" s="3356">
        <f t="shared" si="0"/>
        <v>0</v>
      </c>
      <c r="U16" s="1208"/>
      <c r="V16" s="3356">
        <f t="shared" si="1"/>
        <v>0</v>
      </c>
      <c r="W16" s="1211"/>
      <c r="X16" s="1211"/>
      <c r="Y16" s="1211"/>
      <c r="Z16" s="1211"/>
      <c r="AA16" s="1211"/>
      <c r="AB16" s="1211"/>
      <c r="AC16" s="1212"/>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f ca="1">ROUND(G18/I18,2)</f>
        <v>0.87</v>
      </c>
      <c r="F17" s="3317" t="s">
        <v>3251</v>
      </c>
      <c r="G17" s="3326">
        <f>ROUND(E19/G19,2)</f>
        <v>1</v>
      </c>
      <c r="H17" s="3326"/>
      <c r="I17" s="3326"/>
      <c r="J17" s="3327"/>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8"/>
      <c r="B18" s="3005"/>
      <c r="C18" s="3323"/>
      <c r="D18" s="3318" t="s">
        <v>3249</v>
      </c>
      <c r="E18" s="3324">
        <f ca="1">'数据-取费表'!AE6</f>
        <v>32.04</v>
      </c>
      <c r="F18" s="3319" t="s">
        <v>3252</v>
      </c>
      <c r="G18" s="3323">
        <f ca="1">ROUND(1-(1/(POWER(1+G24,E18))),4)</f>
        <v>0.79049999999999998</v>
      </c>
      <c r="H18" s="3319" t="s">
        <v>3254</v>
      </c>
      <c r="I18" s="3323">
        <f>ROUND(1-(1/(POWER(1+G24,J24))),4)</f>
        <v>0.91279999999999994</v>
      </c>
      <c r="J18" s="3329"/>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30"/>
      <c r="B19" s="3331"/>
      <c r="C19" s="3332"/>
      <c r="D19" s="3332" t="s">
        <v>3250</v>
      </c>
      <c r="E19" s="3333">
        <f>'数据-取费表'!K16</f>
        <v>39707.960000000006</v>
      </c>
      <c r="F19" s="3334" t="s">
        <v>3253</v>
      </c>
      <c r="G19" s="3333">
        <f>E19</f>
        <v>39707.960000000006</v>
      </c>
      <c r="H19" s="3332"/>
      <c r="I19" s="3332"/>
      <c r="J19" s="3335"/>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789" t="s">
        <v>3255</v>
      </c>
      <c r="B20" s="166" t="s">
        <v>1991</v>
      </c>
      <c r="C20" s="3320">
        <f>ROUND(IF(F21="与级别开发程度一致",0,(G21-E21)/C21),0)</f>
        <v>0</v>
      </c>
      <c r="D20" s="3336" t="s">
        <v>1995</v>
      </c>
      <c r="E20" s="3337"/>
      <c r="F20" s="3795" t="s">
        <v>1992</v>
      </c>
      <c r="G20" s="3796"/>
      <c r="H20" s="3321" t="s">
        <v>3402</v>
      </c>
      <c r="I20" s="3321" t="s">
        <v>3402</v>
      </c>
      <c r="J20" s="3322" t="s">
        <v>3404</v>
      </c>
      <c r="K20" s="2042" t="s">
        <v>3405</v>
      </c>
      <c r="L20" s="2042" t="s">
        <v>3406</v>
      </c>
      <c r="M20" s="2042" t="s">
        <v>3407</v>
      </c>
      <c r="N20" s="2042"/>
      <c r="O20" s="2043"/>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790"/>
      <c r="B21" s="2159" t="s">
        <v>1994</v>
      </c>
      <c r="C21" s="2160">
        <f>IF(E3="M4科研用地",SUMPRODUCT((修正!A2:A7=E3)*(修正!B1:M1=G2)*(修正!B2:M7)),SUMPRODUCT((修正!A2:A7=E2)*(修正!B1:M1=G2)*(修正!B2:M7)))</f>
        <v>2</v>
      </c>
      <c r="D21" s="186" t="str">
        <f>IF(OR(G2="八级",G2="九级",G2="十级",G2="十一级",G2="十二级"),"五通一平","七通一平")</f>
        <v>七通一平</v>
      </c>
      <c r="E21" s="2150">
        <f>SUMPRODUCT((修正!B1:M1=G2)*(修正!B17:M17))</f>
        <v>315</v>
      </c>
      <c r="F21" s="2151" t="s">
        <v>3604</v>
      </c>
      <c r="G21" s="2152">
        <f>SUM(H21:O21)</f>
        <v>235</v>
      </c>
      <c r="H21" s="2160">
        <f>SUMPRODUCT((七通一平=H20)*(修正!B1:M1=G2)*(修正!B8:M16))</f>
        <v>70</v>
      </c>
      <c r="I21" s="2160">
        <f>SUMPRODUCT((七通一平=I20)*(修正!B1:M1=G2)*(修正!B8:M16))</f>
        <v>70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0</v>
      </c>
      <c r="O21" s="2162">
        <f>SUMPRODUCT((七通一平=O20)*(修正!B1:M1=G2)*(修正!B8:M16))</f>
        <v>0</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1997</v>
      </c>
      <c r="C22" s="2155">
        <f>SUMIF(修正!C20:C51,E3,修正!E20:E51)</f>
        <v>0.8</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1998</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49" t="s">
        <v>1999</v>
      </c>
      <c r="E23" s="759">
        <v>44197</v>
      </c>
      <c r="F23" s="2049" t="s">
        <v>2000</v>
      </c>
      <c r="G23" s="760">
        <f>'数据-取费表'!B2</f>
        <v>45322</v>
      </c>
      <c r="H23" s="3338" t="s">
        <v>3257</v>
      </c>
      <c r="I23" s="3339" t="str">
        <f>IF(H23="季度增幅（自定义）",SUMIF(N25:N28,E2,O25:O28),"")</f>
        <v/>
      </c>
      <c r="J23" s="3441" t="s">
        <v>3256</v>
      </c>
      <c r="K23" s="1121"/>
      <c r="L23" s="2050" t="s">
        <v>2001</v>
      </c>
      <c r="M23" s="1323">
        <f>ROUND(SUMIF(地价!B2:G2,E2,地价!B16:G16),0)</f>
        <v>0</v>
      </c>
      <c r="N23" s="2051" t="s">
        <v>2002</v>
      </c>
      <c r="O23" s="761">
        <f>ROUNDDOWN(DATEDIF(E23,G23,"M")/3,0)</f>
        <v>12</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2003</v>
      </c>
      <c r="C24" s="762">
        <f>ROUND(POWER(1+G24,J24-I24)*(POWER(1+G24,I24)-1)/(POWER(1+G24,J24)-1),4)</f>
        <v>0.86609999999999998</v>
      </c>
      <c r="D24" s="2055" t="s">
        <v>2004</v>
      </c>
      <c r="E24" s="1330">
        <f>存贷款利率!E24/100</f>
        <v>4.3499999999999997E-2</v>
      </c>
      <c r="F24" s="2055" t="s">
        <v>1996</v>
      </c>
      <c r="G24" s="766">
        <f>SUMIF(M30:Q30,E2,M33:Q33)</f>
        <v>0.05</v>
      </c>
      <c r="H24" s="2055" t="s">
        <v>2005</v>
      </c>
      <c r="I24" s="767">
        <f>SUMIF('数据-取费表'!C6:C15,E2,'数据-取费表'!F6:F15)/COUNTIF('数据-取费表'!C6:C15,E2)</f>
        <v>32.04</v>
      </c>
      <c r="J24" s="768">
        <f>IF(E2="住宅",70,IF(E2="商业",40,50))</f>
        <v>50</v>
      </c>
      <c r="K24" s="1121"/>
      <c r="L24" s="2056" t="s">
        <v>2006</v>
      </c>
      <c r="M24" s="1324">
        <f>ROUND(SUMPRODUCT((地价!A4:A16=YEAR(G23)&amp;"-"&amp;ROUNDUP(MONTH(G23)/3,0))*(地价!B2:G2=E2)*(地价!B4:G16)),0)</f>
        <v>0</v>
      </c>
      <c r="N24" s="2057" t="s">
        <v>2007</v>
      </c>
      <c r="O24" s="2058" t="s">
        <v>2008</v>
      </c>
      <c r="P24" s="2059" t="s">
        <v>2009</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3336</v>
      </c>
      <c r="C25" s="769">
        <f>IF(B25="容积率修正",IF(G3&lt;10,D26,J26),C27)</f>
        <v>0.84540000000000004</v>
      </c>
      <c r="D25" s="2062"/>
      <c r="E25" s="2062"/>
      <c r="F25" s="2062"/>
      <c r="G25" s="2062"/>
      <c r="H25" s="2062"/>
      <c r="I25" s="2062"/>
      <c r="J25" s="2063"/>
      <c r="K25" s="1121"/>
      <c r="L25" s="2783"/>
      <c r="M25" s="2783"/>
      <c r="N25" s="2064" t="s">
        <v>2010</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2011</v>
      </c>
      <c r="B26" s="2065" t="s">
        <v>2012</v>
      </c>
      <c r="C26" s="3340" t="s">
        <v>3258</v>
      </c>
      <c r="D26" s="1347">
        <f>IF(E26=G26,F26,IF(G3&lt;10,ROUND(F26+(H26-F26)*(G3-E26)/(G26-E26),4),"——"))</f>
        <v>0.84540000000000004</v>
      </c>
      <c r="E26" s="750">
        <f>ROUNDDOWN(G3,1)</f>
        <v>5.0999999999999996</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0">
        <f>ROUNDUP(G3,1)</f>
        <v>5.1999999999999993</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0" t="s">
        <v>3259</v>
      </c>
      <c r="J26" s="770" t="str">
        <f>IF(G3&gt;=10,D115,"——")</f>
        <v>——</v>
      </c>
      <c r="K26" s="1121"/>
      <c r="L26" s="2783"/>
      <c r="M26" s="2783"/>
      <c r="N26" s="2064" t="s">
        <v>2013</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2014</v>
      </c>
      <c r="B27" s="2066" t="s">
        <v>2015</v>
      </c>
      <c r="C27" s="839">
        <f>ROUND(IF(I3&lt;6,SUMPRODUCT((B106:B110=I3)*(C105:N105=G2)*(C106:N110)),SUMIF(C105:N105,G2,C112:N112)),4)</f>
        <v>0</v>
      </c>
      <c r="D27" s="2041"/>
      <c r="E27" s="2041"/>
      <c r="F27" s="2067"/>
      <c r="G27" s="2068"/>
      <c r="H27" s="2069"/>
      <c r="I27" s="2070"/>
      <c r="J27" s="2071"/>
      <c r="K27" s="1115"/>
      <c r="L27" s="1992"/>
      <c r="M27" s="1992"/>
      <c r="N27" s="2064" t="s">
        <v>2016</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2017</v>
      </c>
      <c r="C28" s="758">
        <f>SUMIF(A47:A101,E2,B47:B101)</f>
        <v>1.0401</v>
      </c>
      <c r="D28" s="2047"/>
      <c r="E28" s="2072"/>
      <c r="F28" s="2072"/>
      <c r="G28" s="2072"/>
      <c r="H28" s="2072"/>
      <c r="I28" s="2072"/>
      <c r="J28" s="2073"/>
      <c r="K28" s="1121"/>
      <c r="L28" s="2783"/>
      <c r="M28" s="2783"/>
      <c r="N28" s="2074" t="s">
        <v>2018</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2019</v>
      </c>
      <c r="C29" s="763"/>
      <c r="D29" s="2019"/>
      <c r="E29" s="2019"/>
      <c r="F29" s="2076"/>
      <c r="G29" s="2019"/>
      <c r="H29" s="2019"/>
      <c r="I29" s="2019"/>
      <c r="J29" s="2020"/>
      <c r="K29" s="1115"/>
      <c r="L29" s="1992"/>
      <c r="M29" s="1992"/>
      <c r="N29" s="2780" t="s">
        <v>2020</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2021</v>
      </c>
      <c r="C30" s="2316">
        <f>IF(B25="容积率修正",E33+SUM(E37:E42),SUM(V2:V16)+SUM(E37:E42))</f>
        <v>11432</v>
      </c>
      <c r="D30" s="2078"/>
      <c r="E30" s="2041"/>
      <c r="F30" s="2079"/>
      <c r="G30" s="2041"/>
      <c r="H30" s="2041"/>
      <c r="I30" s="2041"/>
      <c r="J30" s="2080"/>
      <c r="K30" s="1115"/>
      <c r="L30" s="3346" t="s">
        <v>1933</v>
      </c>
      <c r="M30" s="3347" t="s">
        <v>1987</v>
      </c>
      <c r="N30" s="3347" t="s">
        <v>1988</v>
      </c>
      <c r="O30" s="3347" t="s">
        <v>1989</v>
      </c>
      <c r="P30" s="3347" t="s">
        <v>1990</v>
      </c>
      <c r="Q30" s="3350" t="s">
        <v>3263</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2022</v>
      </c>
      <c r="C31" s="764">
        <f>E34+SUM(I37:I42)</f>
        <v>110</v>
      </c>
      <c r="D31" s="2082"/>
      <c r="E31" s="2083"/>
      <c r="F31" s="2084"/>
      <c r="G31" s="2083"/>
      <c r="H31" s="2083"/>
      <c r="I31" s="2083"/>
      <c r="J31" s="2085"/>
      <c r="K31" s="1115"/>
      <c r="L31" s="3348" t="s">
        <v>1993</v>
      </c>
      <c r="M31" s="1995">
        <v>0.25</v>
      </c>
      <c r="N31" s="1995">
        <v>0.2</v>
      </c>
      <c r="O31" s="1995">
        <v>0.15</v>
      </c>
      <c r="P31" s="1995">
        <v>0.1</v>
      </c>
      <c r="Q31" s="3343">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2023</v>
      </c>
      <c r="C32" s="2088" t="s">
        <v>2024</v>
      </c>
      <c r="D32" s="2088" t="s">
        <v>2025</v>
      </c>
      <c r="E32" s="2089" t="s">
        <v>2026</v>
      </c>
      <c r="F32" s="2090"/>
      <c r="G32" s="2032"/>
      <c r="H32" s="2032"/>
      <c r="I32" s="2032"/>
      <c r="J32" s="2033"/>
      <c r="K32" s="1115"/>
      <c r="L32" s="3349" t="s">
        <v>1996</v>
      </c>
      <c r="M32" s="2565">
        <f>ROUND($E$24*(1+M31),3)</f>
        <v>5.3999999999999999E-2</v>
      </c>
      <c r="N32" s="2565">
        <f>ROUND($E$24*(1+N31),3)</f>
        <v>5.1999999999999998E-2</v>
      </c>
      <c r="O32" s="2565">
        <f>ROUND($E$24*(1+O31),3)</f>
        <v>0.05</v>
      </c>
      <c r="P32" s="2565">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2027</v>
      </c>
      <c r="C33" s="174">
        <f>ROUND(C5*C22*C23*C24*C25*C28,0)</f>
        <v>3414</v>
      </c>
      <c r="D33" s="2093">
        <f>'数据-取费表'!K6</f>
        <v>32206.960000000006</v>
      </c>
      <c r="E33" s="771">
        <f>ROUND(C33*D33/10000,0)</f>
        <v>10995</v>
      </c>
      <c r="F33" s="3341" t="s">
        <v>3261</v>
      </c>
      <c r="G33" s="2094"/>
      <c r="H33" s="2094"/>
      <c r="I33" s="2094"/>
      <c r="J33" s="2095"/>
      <c r="K33" s="1115"/>
      <c r="L33" s="3344" t="s">
        <v>3264</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2028</v>
      </c>
      <c r="C34" s="186">
        <f>ROUND(IF(E2="工业",C33*M42,IF(B25="楼层修正",SUM(V2:V16)*M41*10000/D34,C33*M41)),0)</f>
        <v>854</v>
      </c>
      <c r="D34" s="2098"/>
      <c r="E34" s="771">
        <f>ROUND(IF(B25="楼层修正",SUM(V2:V16)*M40,C34*D34/10000),0)</f>
        <v>0</v>
      </c>
      <c r="F34" s="2099" t="s">
        <v>2029</v>
      </c>
      <c r="G34" s="2100"/>
      <c r="H34" s="2100"/>
      <c r="I34" s="2100"/>
      <c r="J34" s="2101"/>
      <c r="K34" s="1115"/>
      <c r="L34" s="3344" t="s">
        <v>3265</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2030</v>
      </c>
      <c r="C35" s="3342" t="s">
        <v>3262</v>
      </c>
      <c r="D35" s="2032"/>
      <c r="E35" s="2104"/>
      <c r="F35" s="2104"/>
      <c r="G35" s="2030" t="s">
        <v>2031</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49" t="s">
        <v>2024</v>
      </c>
      <c r="D36" s="446" t="s">
        <v>2025</v>
      </c>
      <c r="E36" s="446" t="s">
        <v>2026</v>
      </c>
      <c r="F36" s="341" t="s">
        <v>2032</v>
      </c>
      <c r="G36" s="2107" t="s">
        <v>2024</v>
      </c>
      <c r="H36" s="2107" t="s">
        <v>2025</v>
      </c>
      <c r="I36" s="2107" t="s">
        <v>2026</v>
      </c>
      <c r="J36" s="242"/>
      <c r="K36" s="3352" t="s">
        <v>3266</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93"/>
      <c r="B37" s="2108" t="s">
        <v>2033</v>
      </c>
      <c r="C37" s="174">
        <f>ROUND(D5*C22*C23*C24*C28*F37,0)</f>
        <v>2423</v>
      </c>
      <c r="D37" s="2093"/>
      <c r="E37" s="170">
        <f>ROUND(C37*D37/10000,0)</f>
        <v>0</v>
      </c>
      <c r="F37" s="170">
        <f>SUMIF(修正!A57:A68,G2,修正!B57:B68)</f>
        <v>0.6</v>
      </c>
      <c r="G37" s="170">
        <f>ROUND(IF(E2="工业",C37*$M$42,C37*$M$41),0)</f>
        <v>606</v>
      </c>
      <c r="H37" s="170">
        <f>D37</f>
        <v>0</v>
      </c>
      <c r="I37" s="170">
        <f>ROUND(G37*H37/10000,0)</f>
        <v>0</v>
      </c>
      <c r="J37" s="3007"/>
      <c r="K37" s="3354" t="s">
        <v>3267</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4"/>
      <c r="B38" s="2036" t="s">
        <v>2034</v>
      </c>
      <c r="C38" s="174">
        <f>ROUND(D5*C22*C23*C24*C28*F38,0)</f>
        <v>1212</v>
      </c>
      <c r="D38" s="2093"/>
      <c r="E38" s="170">
        <f t="shared" ref="E38:E42" si="4">ROUND(C38*D38/10000,0)</f>
        <v>0</v>
      </c>
      <c r="F38" s="170">
        <f>SUMIF(修正!A57:A68,G2,修正!C57:C68)</f>
        <v>0.3</v>
      </c>
      <c r="G38" s="170">
        <f>ROUND(IF(E2="工业",C38*$M$42,C38*$M$41),0)</f>
        <v>303</v>
      </c>
      <c r="H38" s="170">
        <f t="shared" ref="H38:H42" si="5">D38</f>
        <v>0</v>
      </c>
      <c r="I38" s="170">
        <f t="shared" ref="I38:I42" si="6">ROUND(G38*H38/10000,0)</f>
        <v>0</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5" thickBot="1">
      <c r="A39" s="3794"/>
      <c r="B39" s="2036" t="s">
        <v>3260</v>
      </c>
      <c r="C39" s="174">
        <f>ROUND(D5*C22*C23*C24*C28*F39,0)</f>
        <v>1010</v>
      </c>
      <c r="D39" s="2093"/>
      <c r="E39" s="170">
        <f t="shared" si="4"/>
        <v>0</v>
      </c>
      <c r="F39" s="170">
        <f>SUMIF(修正!A57:A68,G2,修正!D57:D68)</f>
        <v>0.25</v>
      </c>
      <c r="G39" s="170">
        <f>ROUND(IF(E2="工业",C39*$M$42,C39*$M$41),0)</f>
        <v>253</v>
      </c>
      <c r="H39" s="170">
        <f t="shared" si="5"/>
        <v>0</v>
      </c>
      <c r="I39" s="170">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2035</v>
      </c>
      <c r="C40" s="170">
        <f>ROUND(D5*C22*C23*C24*C28*F40,0)</f>
        <v>1010</v>
      </c>
      <c r="D40" s="2093"/>
      <c r="E40" s="170">
        <f t="shared" si="4"/>
        <v>0</v>
      </c>
      <c r="F40" s="174">
        <f>SUMIF(修正!A57:A68,G2,修正!E57:E68)</f>
        <v>0.25</v>
      </c>
      <c r="G40" s="170">
        <f>ROUND(IF(E2="工业",C40*$M$42,C40*$M$41),0)</f>
        <v>253</v>
      </c>
      <c r="H40" s="170">
        <f t="shared" si="5"/>
        <v>0</v>
      </c>
      <c r="I40" s="170">
        <f t="shared" si="6"/>
        <v>0</v>
      </c>
      <c r="J40" s="2109"/>
      <c r="L40" s="2111" t="s">
        <v>2036</v>
      </c>
      <c r="M40" s="2112"/>
      <c r="Z40" s="1116"/>
      <c r="AA40" s="1116"/>
      <c r="AB40" s="1116"/>
      <c r="AC40" s="1116"/>
      <c r="AD40" s="1116"/>
      <c r="AE40" s="1116"/>
      <c r="AF40" s="1116"/>
      <c r="AG40" s="1116"/>
      <c r="AH40" s="1116"/>
      <c r="AI40" s="1116"/>
      <c r="AJ40" s="1116"/>
    </row>
    <row r="41" spans="1:37" s="1115" customFormat="1">
      <c r="A41" s="2110"/>
      <c r="B41" s="2036" t="s">
        <v>2037</v>
      </c>
      <c r="C41" s="170">
        <f>ROUND(D5*C22*C23*C44*C28*F41,0)</f>
        <v>1010</v>
      </c>
      <c r="D41" s="2093"/>
      <c r="E41" s="170">
        <f t="shared" si="4"/>
        <v>0</v>
      </c>
      <c r="F41" s="174">
        <f>SUMIF(修正!A57:A68,G2,修正!F57:F68)</f>
        <v>0.25</v>
      </c>
      <c r="G41" s="170">
        <f>ROUND(IF(E2="工业",C41*$M$42,C41*$M$41),0)</f>
        <v>253</v>
      </c>
      <c r="H41" s="170">
        <f t="shared" si="5"/>
        <v>0</v>
      </c>
      <c r="I41" s="170">
        <f t="shared" si="6"/>
        <v>0</v>
      </c>
      <c r="J41" s="2109"/>
      <c r="L41" s="3355" t="s">
        <v>3268</v>
      </c>
      <c r="M41" s="2113">
        <v>0.25</v>
      </c>
      <c r="Z41" s="1116"/>
      <c r="AA41" s="1116"/>
      <c r="AB41" s="1116"/>
      <c r="AC41" s="1116"/>
      <c r="AD41" s="1116"/>
      <c r="AE41" s="1116"/>
      <c r="AF41" s="1116"/>
      <c r="AG41" s="1116"/>
      <c r="AH41" s="1116"/>
      <c r="AI41" s="1116"/>
      <c r="AJ41" s="1116"/>
    </row>
    <row r="42" spans="1:37" s="1115" customFormat="1" ht="13.5" thickBot="1">
      <c r="A42" s="2096"/>
      <c r="B42" s="2114" t="s">
        <v>2038</v>
      </c>
      <c r="C42" s="186">
        <f>ROUND(D5*C22*C23*C44*C28*F42,0)</f>
        <v>606</v>
      </c>
      <c r="D42" s="2098">
        <f>'数据-汇总表'!G20</f>
        <v>7219.03</v>
      </c>
      <c r="E42" s="186">
        <f t="shared" si="4"/>
        <v>437</v>
      </c>
      <c r="F42" s="765">
        <f>SUMIF(修正!A57:A68,G2,修正!G57:G68)</f>
        <v>0.15</v>
      </c>
      <c r="G42" s="186">
        <f>ROUND(IF(E2="工业",C42*$M$42,C42*$M$41),0)</f>
        <v>152</v>
      </c>
      <c r="H42" s="186">
        <f t="shared" si="5"/>
        <v>7219.03</v>
      </c>
      <c r="I42" s="186">
        <f t="shared" si="6"/>
        <v>110</v>
      </c>
      <c r="J42" s="2115"/>
      <c r="L42" s="2116" t="s">
        <v>1990</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2119</v>
      </c>
      <c r="C44" s="341">
        <f>ROUND(POWER(1+E44,H44-G44)*(POWER(1+E44,G44)-1)/(POWER(1+E44,H44)-1),4)</f>
        <v>0.86609999999999998</v>
      </c>
      <c r="D44" s="170" t="s">
        <v>1996</v>
      </c>
      <c r="E44" s="2148">
        <f>G24</f>
        <v>0.05</v>
      </c>
      <c r="F44" s="170" t="s">
        <v>2005</v>
      </c>
      <c r="G44" s="182">
        <f>项目基本情况!F15</f>
        <v>32.04</v>
      </c>
      <c r="H44" s="170">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2039</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2040</v>
      </c>
      <c r="B48" s="2122">
        <f>1+E50</f>
        <v>1</v>
      </c>
      <c r="C48" s="2123"/>
      <c r="D48" s="739"/>
      <c r="E48" s="740"/>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2041</v>
      </c>
      <c r="B49" s="1346" t="s">
        <v>2042</v>
      </c>
      <c r="C49" s="1346" t="s">
        <v>2043</v>
      </c>
      <c r="D49" s="1346" t="s">
        <v>2044</v>
      </c>
      <c r="E49" s="741" t="s">
        <v>2045</v>
      </c>
      <c r="F49" s="2126" t="s">
        <v>2046</v>
      </c>
      <c r="G49" s="1346" t="s">
        <v>310</v>
      </c>
      <c r="H49" s="2127" t="s">
        <v>2047</v>
      </c>
      <c r="I49" s="1346" t="s">
        <v>2048</v>
      </c>
      <c r="J49" s="551" t="s">
        <v>1719</v>
      </c>
      <c r="K49" s="551" t="s">
        <v>1720</v>
      </c>
      <c r="L49" s="551" t="s">
        <v>1721</v>
      </c>
      <c r="M49" s="551" t="s">
        <v>1722</v>
      </c>
      <c r="N49" s="551" t="s">
        <v>1723</v>
      </c>
      <c r="AA49" s="1116"/>
      <c r="AB49" s="1116"/>
      <c r="AC49" s="1116"/>
      <c r="AD49" s="1116"/>
      <c r="AE49" s="1116"/>
      <c r="AF49" s="1116"/>
      <c r="AG49" s="1116"/>
      <c r="AH49" s="1116"/>
      <c r="AI49" s="1116"/>
      <c r="AJ49" s="1116"/>
      <c r="AK49" s="1116"/>
    </row>
    <row r="50" spans="1:37" s="1115" customFormat="1" ht="38.25">
      <c r="A50" s="2125" t="s">
        <v>2049</v>
      </c>
      <c r="B50" s="2128" t="str">
        <f>估价对象房地状况!C4</f>
        <v>估价对象位于XX商圈，周边商业氛围成熟，人流量大，商业繁华度好</v>
      </c>
      <c r="C50" s="2039"/>
      <c r="D50" s="1061">
        <f t="shared" ref="D50:D58" si="7">SUMIF($J$49:$N$49,C50,J50:N50)</f>
        <v>0</v>
      </c>
      <c r="E50" s="742">
        <f>ROUND(SUM(D50:D58),4)</f>
        <v>0</v>
      </c>
      <c r="F50" s="1809" t="str">
        <f>IF(E2="商业",SUMIF(L1:L12,G2,N1:N12),"——")</f>
        <v>——</v>
      </c>
      <c r="G50" s="1059"/>
      <c r="H50" s="1062" t="str">
        <f t="shared" ref="H50:H58" si="8">IFERROR(ROUNDDOWN($F$50*I50/2,4),"——")</f>
        <v>——</v>
      </c>
      <c r="I50" s="3362">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c r="A51" s="2125" t="s">
        <v>2050</v>
      </c>
      <c r="B51" s="2129" t="str">
        <f>估价对象房地状况!C18</f>
        <v>估价对象周边道路状况、公共交通通达情况、停车便捷程度，综合评价交通便捷度较好</v>
      </c>
      <c r="C51" s="2039"/>
      <c r="D51" s="1061">
        <f t="shared" si="7"/>
        <v>0</v>
      </c>
      <c r="E51" s="743"/>
      <c r="F51" s="1809"/>
      <c r="G51" s="1059"/>
      <c r="H51" s="1062" t="str">
        <f t="shared" si="8"/>
        <v>——</v>
      </c>
      <c r="I51" s="3362">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4" t="s">
        <v>3270</v>
      </c>
      <c r="B52" s="2129">
        <f>估价对象房地状况!C19</f>
        <v>0</v>
      </c>
      <c r="C52" s="2039"/>
      <c r="D52" s="1061">
        <f t="shared" si="7"/>
        <v>0</v>
      </c>
      <c r="E52" s="743"/>
      <c r="F52" s="1809"/>
      <c r="G52" s="1059"/>
      <c r="H52" s="1062" t="str">
        <f t="shared" si="8"/>
        <v>——</v>
      </c>
      <c r="I52" s="3362">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2051</v>
      </c>
      <c r="B53" s="2130" t="s">
        <v>2052</v>
      </c>
      <c r="C53" s="2039"/>
      <c r="D53" s="1061">
        <f t="shared" si="7"/>
        <v>0</v>
      </c>
      <c r="E53" s="743"/>
      <c r="F53" s="1809"/>
      <c r="G53" s="1059"/>
      <c r="H53" s="1062" t="str">
        <f t="shared" si="8"/>
        <v>——</v>
      </c>
      <c r="I53" s="3362">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2053</v>
      </c>
      <c r="B54" s="2129">
        <f>估价对象房地状况!C24</f>
        <v>0</v>
      </c>
      <c r="C54" s="2039"/>
      <c r="D54" s="1061">
        <f t="shared" si="7"/>
        <v>0</v>
      </c>
      <c r="E54" s="743"/>
      <c r="F54" s="1809"/>
      <c r="G54" s="1059"/>
      <c r="H54" s="1062" t="str">
        <f t="shared" si="8"/>
        <v>——</v>
      </c>
      <c r="I54" s="3362">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2054</v>
      </c>
      <c r="B55" s="2131" t="s">
        <v>2055</v>
      </c>
      <c r="C55" s="2039"/>
      <c r="D55" s="1061">
        <f t="shared" si="7"/>
        <v>0</v>
      </c>
      <c r="E55" s="743"/>
      <c r="F55" s="1809"/>
      <c r="G55" s="1059"/>
      <c r="H55" s="1062" t="str">
        <f t="shared" si="8"/>
        <v>——</v>
      </c>
      <c r="I55" s="3362">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c r="A56" s="2132" t="s">
        <v>2056</v>
      </c>
      <c r="B56" s="1321" t="str">
        <f>估价对象房地状况!C21</f>
        <v>估价对象所在区域公共配套设施齐备情况</v>
      </c>
      <c r="C56" s="2039"/>
      <c r="D56" s="1061">
        <f t="shared" si="7"/>
        <v>0</v>
      </c>
      <c r="E56" s="743"/>
      <c r="F56" s="1809"/>
      <c r="G56" s="1059"/>
      <c r="H56" s="1062" t="str">
        <f t="shared" si="8"/>
        <v>——</v>
      </c>
      <c r="I56" s="3362">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2" t="s">
        <v>2057</v>
      </c>
      <c r="B57" s="2129" t="str">
        <f>估价对象房地状况!C22</f>
        <v>估价对象所在区域基础设施水平</v>
      </c>
      <c r="C57" s="2039"/>
      <c r="D57" s="1061">
        <f t="shared" si="7"/>
        <v>0</v>
      </c>
      <c r="E57" s="743"/>
      <c r="F57" s="1809"/>
      <c r="G57" s="1059"/>
      <c r="H57" s="1062" t="str">
        <f t="shared" si="8"/>
        <v>——</v>
      </c>
      <c r="I57" s="3362">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thickBot="1">
      <c r="A58" s="2133" t="s">
        <v>2058</v>
      </c>
      <c r="B58" s="2134" t="str">
        <f>估价对象房地状况!C20</f>
        <v>区域自然环境：；人文环境；综合评价环境状况一般</v>
      </c>
      <c r="C58" s="2039"/>
      <c r="D58" s="1061">
        <f t="shared" si="7"/>
        <v>0</v>
      </c>
      <c r="E58" s="744"/>
      <c r="F58" s="1809"/>
      <c r="G58" s="1059"/>
      <c r="H58" s="1062" t="str">
        <f t="shared" si="8"/>
        <v>——</v>
      </c>
      <c r="I58" s="3363">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2059</v>
      </c>
      <c r="B59" s="2122">
        <f>1+E61</f>
        <v>1</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2041</v>
      </c>
      <c r="B60" s="1346"/>
      <c r="C60" s="1346" t="s">
        <v>2043</v>
      </c>
      <c r="D60" s="1346" t="s">
        <v>2044</v>
      </c>
      <c r="E60" s="741" t="s">
        <v>2045</v>
      </c>
      <c r="F60" s="2126" t="s">
        <v>2060</v>
      </c>
      <c r="G60" s="1346" t="s">
        <v>310</v>
      </c>
      <c r="H60" s="2127" t="s">
        <v>2047</v>
      </c>
      <c r="I60" s="1346" t="s">
        <v>2048</v>
      </c>
      <c r="J60" s="551" t="s">
        <v>1719</v>
      </c>
      <c r="K60" s="551" t="s">
        <v>1720</v>
      </c>
      <c r="L60" s="551" t="s">
        <v>1721</v>
      </c>
      <c r="M60" s="551" t="s">
        <v>1722</v>
      </c>
      <c r="N60" s="551" t="s">
        <v>1723</v>
      </c>
      <c r="AA60" s="1116"/>
      <c r="AB60" s="1116"/>
      <c r="AC60" s="1116"/>
      <c r="AD60" s="1116"/>
      <c r="AE60" s="1116"/>
      <c r="AF60" s="1116"/>
      <c r="AG60" s="1116"/>
      <c r="AH60" s="1116"/>
      <c r="AI60" s="1116"/>
      <c r="AJ60" s="1116"/>
      <c r="AK60" s="1116"/>
    </row>
    <row r="61" spans="1:37" s="1115" customFormat="1" ht="38.25">
      <c r="A61" s="2125" t="s">
        <v>2061</v>
      </c>
      <c r="B61" s="2128" t="str">
        <f>估价对象房地状况!C17</f>
        <v>估价对象位于XX商圈，周边办公楼项目较多，入驻率高，办公集聚程度较好</v>
      </c>
      <c r="C61" s="2039"/>
      <c r="D61" s="1061">
        <f t="shared" ref="D61:D69" si="12">SUMIF($J$60:$N$60,C61,J61:N61)</f>
        <v>0</v>
      </c>
      <c r="E61" s="742">
        <f>ROUND(SUM(D61:D69),4)</f>
        <v>0</v>
      </c>
      <c r="F61" s="1809" t="str">
        <f>IF(E2="办公",SUMIF(L1:L12,G2,N1:N12),"——")</f>
        <v>——</v>
      </c>
      <c r="G61" s="1059"/>
      <c r="H61" s="1062" t="str">
        <f t="shared" ref="H61:H69" si="13">IFERROR(ROUNDDOWN($F$61*I61/2,4),"——")</f>
        <v>——</v>
      </c>
      <c r="I61" s="3362">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5" t="s">
        <v>2050</v>
      </c>
      <c r="B62" s="2129" t="str">
        <f>估价对象房地状况!C18</f>
        <v>估价对象周边道路状况、公共交通通达情况、停车便捷程度，综合评价交通便捷度较好</v>
      </c>
      <c r="C62" s="2039"/>
      <c r="D62" s="1061">
        <f t="shared" si="12"/>
        <v>0</v>
      </c>
      <c r="E62" s="743"/>
      <c r="F62" s="1809"/>
      <c r="G62" s="1059"/>
      <c r="H62" s="1062" t="str">
        <f t="shared" si="13"/>
        <v>——</v>
      </c>
      <c r="I62" s="3362">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4" t="s">
        <v>3270</v>
      </c>
      <c r="B63" s="2129">
        <f>估价对象房地状况!C19</f>
        <v>0</v>
      </c>
      <c r="C63" s="2039"/>
      <c r="D63" s="1061">
        <f t="shared" si="12"/>
        <v>0</v>
      </c>
      <c r="E63" s="743"/>
      <c r="F63" s="1809"/>
      <c r="G63" s="1059"/>
      <c r="H63" s="1062" t="str">
        <f t="shared" si="13"/>
        <v>——</v>
      </c>
      <c r="I63" s="3362">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2051</v>
      </c>
      <c r="B64" s="2130" t="s">
        <v>2052</v>
      </c>
      <c r="C64" s="2039"/>
      <c r="D64" s="1061">
        <f t="shared" si="12"/>
        <v>0</v>
      </c>
      <c r="E64" s="743"/>
      <c r="F64" s="1809"/>
      <c r="G64" s="1059"/>
      <c r="H64" s="1062" t="str">
        <f t="shared" si="13"/>
        <v>——</v>
      </c>
      <c r="I64" s="3362">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2053</v>
      </c>
      <c r="B65" s="2129">
        <f>估价对象房地状况!C24</f>
        <v>0</v>
      </c>
      <c r="C65" s="2039"/>
      <c r="D65" s="1061">
        <f t="shared" si="12"/>
        <v>0</v>
      </c>
      <c r="E65" s="743"/>
      <c r="F65" s="1809"/>
      <c r="G65" s="1059"/>
      <c r="H65" s="1062" t="str">
        <f t="shared" si="13"/>
        <v>——</v>
      </c>
      <c r="I65" s="3362">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2054</v>
      </c>
      <c r="B66" s="2131" t="s">
        <v>2055</v>
      </c>
      <c r="C66" s="2039"/>
      <c r="D66" s="1061">
        <f t="shared" si="12"/>
        <v>0</v>
      </c>
      <c r="E66" s="743"/>
      <c r="F66" s="1809"/>
      <c r="G66" s="1059"/>
      <c r="H66" s="1062" t="str">
        <f t="shared" si="13"/>
        <v>——</v>
      </c>
      <c r="I66" s="3362">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5" t="s">
        <v>2056</v>
      </c>
      <c r="B67" s="1321" t="str">
        <f>估价对象房地状况!C21</f>
        <v>估价对象所在区域公共配套设施齐备情况</v>
      </c>
      <c r="C67" s="2039"/>
      <c r="D67" s="1061">
        <f t="shared" si="12"/>
        <v>0</v>
      </c>
      <c r="E67" s="743"/>
      <c r="F67" s="1809"/>
      <c r="G67" s="1059"/>
      <c r="H67" s="1062" t="str">
        <f t="shared" si="13"/>
        <v>——</v>
      </c>
      <c r="I67" s="3362">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5" t="s">
        <v>2057</v>
      </c>
      <c r="B68" s="1321" t="str">
        <f>估价对象房地状况!C22</f>
        <v>估价对象所在区域基础设施水平</v>
      </c>
      <c r="C68" s="2039"/>
      <c r="D68" s="1061">
        <f t="shared" si="12"/>
        <v>0</v>
      </c>
      <c r="E68" s="743"/>
      <c r="F68" s="1809"/>
      <c r="G68" s="1059"/>
      <c r="H68" s="1062" t="str">
        <f t="shared" si="13"/>
        <v>——</v>
      </c>
      <c r="I68" s="3362">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3" t="s">
        <v>2058</v>
      </c>
      <c r="B69" s="2135" t="str">
        <f>估价对象房地状况!C20</f>
        <v>区域自然环境：；人文环境；综合评价环境状况一般</v>
      </c>
      <c r="C69" s="2039"/>
      <c r="D69" s="1061">
        <f t="shared" si="12"/>
        <v>0</v>
      </c>
      <c r="E69" s="744"/>
      <c r="F69" s="1809"/>
      <c r="G69" s="1059"/>
      <c r="H69" s="1062" t="str">
        <f t="shared" si="13"/>
        <v>——</v>
      </c>
      <c r="I69" s="3363">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2062</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2041</v>
      </c>
      <c r="B71" s="1346"/>
      <c r="C71" s="1346" t="s">
        <v>2043</v>
      </c>
      <c r="D71" s="1346" t="s">
        <v>2044</v>
      </c>
      <c r="E71" s="741" t="s">
        <v>2045</v>
      </c>
      <c r="F71" s="2126" t="s">
        <v>2060</v>
      </c>
      <c r="G71" s="1346" t="s">
        <v>310</v>
      </c>
      <c r="H71" s="2127" t="s">
        <v>2047</v>
      </c>
      <c r="I71" s="1346" t="s">
        <v>2048</v>
      </c>
      <c r="J71" s="551" t="s">
        <v>1719</v>
      </c>
      <c r="K71" s="551" t="s">
        <v>1720</v>
      </c>
      <c r="L71" s="551" t="s">
        <v>1721</v>
      </c>
      <c r="M71" s="551" t="s">
        <v>1722</v>
      </c>
      <c r="N71" s="551" t="s">
        <v>1723</v>
      </c>
      <c r="AA71" s="1116"/>
      <c r="AB71" s="1116"/>
      <c r="AC71" s="1116"/>
      <c r="AD71" s="1116"/>
      <c r="AE71" s="1116"/>
      <c r="AF71" s="1116"/>
      <c r="AG71" s="1116"/>
      <c r="AH71" s="1116"/>
      <c r="AI71" s="1116"/>
      <c r="AJ71" s="1116"/>
      <c r="AK71" s="1116"/>
    </row>
    <row r="72" spans="1:37" s="1115" customFormat="1" ht="51">
      <c r="A72" s="2125" t="s">
        <v>2063</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09" t="str">
        <f>IF(E2="住宅",SUMIF(L1:L12,G2,N1:N12),"——")</f>
        <v>——</v>
      </c>
      <c r="G72" s="1059"/>
      <c r="H72" s="1062" t="str">
        <f t="shared" ref="H72:H80" si="18">IFERROR(ROUNDDOWN($F$72*I72/2,4),"——")</f>
        <v>——</v>
      </c>
      <c r="I72" s="3362">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2050</v>
      </c>
      <c r="B73" s="2129" t="str">
        <f>估价对象房地状况!C18</f>
        <v>估价对象周边道路状况、公共交通通达情况、停车便捷程度，综合评价交通便捷度较好</v>
      </c>
      <c r="C73" s="2039"/>
      <c r="D73" s="1061">
        <f t="shared" si="17"/>
        <v>0</v>
      </c>
      <c r="E73" s="745"/>
      <c r="F73" s="1809"/>
      <c r="G73" s="1059"/>
      <c r="H73" s="1062" t="str">
        <f t="shared" si="18"/>
        <v>——</v>
      </c>
      <c r="I73" s="3362">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4" t="s">
        <v>3270</v>
      </c>
      <c r="B74" s="2129">
        <f>估价对象房地状况!C19</f>
        <v>0</v>
      </c>
      <c r="C74" s="2039"/>
      <c r="D74" s="1061">
        <f t="shared" si="17"/>
        <v>0</v>
      </c>
      <c r="E74" s="745"/>
      <c r="F74" s="1809"/>
      <c r="G74" s="1059"/>
      <c r="H74" s="1062" t="str">
        <f t="shared" si="18"/>
        <v>——</v>
      </c>
      <c r="I74" s="3362">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2064</v>
      </c>
      <c r="B75" s="2129">
        <f>估价对象房地状况!C24</f>
        <v>0</v>
      </c>
      <c r="C75" s="2039"/>
      <c r="D75" s="1061">
        <f t="shared" si="17"/>
        <v>0</v>
      </c>
      <c r="E75" s="745"/>
      <c r="F75" s="1809"/>
      <c r="G75" s="1059"/>
      <c r="H75" s="1062" t="str">
        <f t="shared" si="18"/>
        <v>——</v>
      </c>
      <c r="I75" s="3362">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2056</v>
      </c>
      <c r="B76" s="1321" t="str">
        <f>估价对象房地状况!C21</f>
        <v>估价对象所在区域公共配套设施齐备情况</v>
      </c>
      <c r="C76" s="2039"/>
      <c r="D76" s="1061">
        <f t="shared" si="17"/>
        <v>0</v>
      </c>
      <c r="E76" s="745"/>
      <c r="F76" s="1809"/>
      <c r="G76" s="1059"/>
      <c r="H76" s="1062" t="str">
        <f t="shared" si="18"/>
        <v>——</v>
      </c>
      <c r="I76" s="3362">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2057</v>
      </c>
      <c r="B77" s="1321" t="str">
        <f>估价对象房地状况!C22</f>
        <v>估价对象所在区域基础设施水平</v>
      </c>
      <c r="C77" s="2039"/>
      <c r="D77" s="1061">
        <f t="shared" si="17"/>
        <v>0</v>
      </c>
      <c r="E77" s="745"/>
      <c r="F77" s="1809"/>
      <c r="G77" s="1059"/>
      <c r="H77" s="1062" t="str">
        <f t="shared" si="18"/>
        <v>——</v>
      </c>
      <c r="I77" s="3362">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2054</v>
      </c>
      <c r="B78" s="2131" t="s">
        <v>2055</v>
      </c>
      <c r="C78" s="2039"/>
      <c r="D78" s="1061">
        <f t="shared" si="17"/>
        <v>0</v>
      </c>
      <c r="E78" s="745"/>
      <c r="F78" s="1809"/>
      <c r="G78" s="1059"/>
      <c r="H78" s="1062" t="str">
        <f t="shared" si="18"/>
        <v>——</v>
      </c>
      <c r="I78" s="3362">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2058</v>
      </c>
      <c r="B79" s="2128" t="str">
        <f>估价对象房地状况!C20</f>
        <v>区域自然环境：；人文环境；综合评价环境状况一般</v>
      </c>
      <c r="C79" s="2039"/>
      <c r="D79" s="1061">
        <f t="shared" si="17"/>
        <v>0</v>
      </c>
      <c r="E79" s="745"/>
      <c r="F79" s="1809"/>
      <c r="G79" s="1059"/>
      <c r="H79" s="1062" t="str">
        <f t="shared" si="18"/>
        <v>——</v>
      </c>
      <c r="I79" s="3362">
        <v>0.12</v>
      </c>
      <c r="J79" s="1060">
        <f t="shared" si="19"/>
        <v>0</v>
      </c>
      <c r="K79" s="1060">
        <f t="shared" si="20"/>
        <v>0</v>
      </c>
      <c r="L79" s="1060">
        <v>0</v>
      </c>
      <c r="M79" s="1060">
        <f t="shared" si="21"/>
        <v>0</v>
      </c>
      <c r="N79" s="1060">
        <f t="shared" si="21"/>
        <v>0</v>
      </c>
      <c r="Z79" s="1993"/>
      <c r="AA79" s="2048"/>
      <c r="AG79" s="1117"/>
      <c r="AK79" s="2048"/>
    </row>
    <row r="80" spans="1:37" ht="24.75" thickBot="1">
      <c r="A80" s="2133" t="s">
        <v>2065</v>
      </c>
      <c r="B80" s="2137"/>
      <c r="C80" s="2039"/>
      <c r="D80" s="1061">
        <f t="shared" si="17"/>
        <v>0</v>
      </c>
      <c r="E80" s="746"/>
      <c r="F80" s="1809"/>
      <c r="G80" s="1059"/>
      <c r="H80" s="1062" t="str">
        <f t="shared" si="18"/>
        <v>——</v>
      </c>
      <c r="I80" s="3363">
        <v>0.05</v>
      </c>
      <c r="J80" s="1060">
        <f t="shared" si="19"/>
        <v>0</v>
      </c>
      <c r="K80" s="1060">
        <f t="shared" si="20"/>
        <v>0</v>
      </c>
      <c r="L80" s="1060">
        <v>0</v>
      </c>
      <c r="M80" s="1060">
        <f t="shared" si="21"/>
        <v>0</v>
      </c>
      <c r="N80" s="1060">
        <f t="shared" si="21"/>
        <v>0</v>
      </c>
      <c r="Z80" s="1993"/>
      <c r="AA80" s="2048"/>
      <c r="AG80" s="1117"/>
      <c r="AK80" s="2048"/>
    </row>
    <row r="81" spans="1:37" ht="15">
      <c r="A81" s="2121" t="s">
        <v>2066</v>
      </c>
      <c r="B81" s="2122">
        <f>1+E83</f>
        <v>1</v>
      </c>
      <c r="C81" s="739"/>
      <c r="D81" s="739"/>
      <c r="E81" s="740"/>
      <c r="F81" s="2124"/>
      <c r="G81" s="3"/>
      <c r="H81" s="3"/>
      <c r="I81" s="3"/>
      <c r="J81" s="4"/>
      <c r="K81" s="4"/>
      <c r="L81" s="4"/>
      <c r="M81" s="4"/>
      <c r="N81" s="4"/>
      <c r="Z81" s="1993"/>
      <c r="AA81" s="2048"/>
      <c r="AG81" s="1117"/>
      <c r="AK81" s="2048"/>
    </row>
    <row r="82" spans="1:37" ht="24.75">
      <c r="A82" s="2125" t="s">
        <v>2041</v>
      </c>
      <c r="B82" s="1346"/>
      <c r="C82" s="1346" t="s">
        <v>2043</v>
      </c>
      <c r="D82" s="1346" t="s">
        <v>2044</v>
      </c>
      <c r="E82" s="741" t="s">
        <v>2045</v>
      </c>
      <c r="F82" s="2126" t="s">
        <v>2060</v>
      </c>
      <c r="G82" s="1346" t="s">
        <v>310</v>
      </c>
      <c r="H82" s="2127" t="s">
        <v>2047</v>
      </c>
      <c r="I82" s="1346" t="s">
        <v>2048</v>
      </c>
      <c r="J82" s="551" t="s">
        <v>1719</v>
      </c>
      <c r="K82" s="551" t="s">
        <v>1720</v>
      </c>
      <c r="L82" s="551" t="s">
        <v>1721</v>
      </c>
      <c r="M82" s="551" t="s">
        <v>1722</v>
      </c>
      <c r="N82" s="551" t="s">
        <v>1723</v>
      </c>
      <c r="Z82" s="1993"/>
      <c r="AA82" s="2048"/>
      <c r="AG82" s="1117"/>
      <c r="AK82" s="2048"/>
    </row>
    <row r="83" spans="1:37" ht="38.25">
      <c r="A83" s="2125" t="s">
        <v>2067</v>
      </c>
      <c r="B83" s="2129" t="str">
        <f>估价对象房地状况!G15</f>
        <v>估价对象位于XX开发区，园区建设成熟度XX，产业集聚程度XX</v>
      </c>
      <c r="C83" s="2039" t="s">
        <v>3593</v>
      </c>
      <c r="D83" s="1061">
        <f t="shared" ref="D83:D90" si="22">SUMIF($J$82:$N$82,C83,J83:N83)</f>
        <v>0</v>
      </c>
      <c r="E83" s="742">
        <f>ROUND(SUM(D83:D90),4)</f>
        <v>0</v>
      </c>
      <c r="F83" s="1809" t="str">
        <f>IF(E2="工业",SUMIF(L1:L12,G2,N1:N12),"——")</f>
        <v>——</v>
      </c>
      <c r="G83" s="1059"/>
      <c r="H83" s="1062" t="str">
        <f t="shared" ref="H83:H90" si="23">IFERROR(ROUNDDOWN($F$83*I83/2,4),"——")</f>
        <v>——</v>
      </c>
      <c r="I83" s="3362">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2050</v>
      </c>
      <c r="B84" s="2129" t="str">
        <f>估价对象房地状况!G16</f>
        <v>估价对象周边道路状况、公共交通通达情况、停车便捷程度，综合评价交通便捷度较好</v>
      </c>
      <c r="C84" s="2039" t="s">
        <v>3592</v>
      </c>
      <c r="D84" s="1061">
        <f t="shared" si="22"/>
        <v>0</v>
      </c>
      <c r="E84" s="745"/>
      <c r="F84" s="1809"/>
      <c r="G84" s="1059"/>
      <c r="H84" s="1062" t="str">
        <f t="shared" si="23"/>
        <v>——</v>
      </c>
      <c r="I84" s="3362">
        <v>0.3</v>
      </c>
      <c r="J84" s="1060">
        <f t="shared" si="24"/>
        <v>0</v>
      </c>
      <c r="K84" s="1060">
        <f t="shared" si="25"/>
        <v>0</v>
      </c>
      <c r="L84" s="1060">
        <v>0</v>
      </c>
      <c r="M84" s="1060">
        <f t="shared" si="26"/>
        <v>0</v>
      </c>
      <c r="N84" s="1060">
        <f t="shared" si="26"/>
        <v>0</v>
      </c>
      <c r="Z84" s="1993"/>
      <c r="AA84" s="2048"/>
      <c r="AG84" s="1117"/>
      <c r="AK84" s="2048"/>
    </row>
    <row r="85" spans="1:37" ht="36">
      <c r="A85" s="3364" t="s">
        <v>3271</v>
      </c>
      <c r="B85" s="2129">
        <f>估价对象房地状况!G17</f>
        <v>0</v>
      </c>
      <c r="C85" s="2039" t="s">
        <v>3593</v>
      </c>
      <c r="D85" s="1061">
        <f t="shared" si="22"/>
        <v>0</v>
      </c>
      <c r="E85" s="745"/>
      <c r="F85" s="1809"/>
      <c r="G85" s="1059"/>
      <c r="H85" s="1062" t="str">
        <f t="shared" si="23"/>
        <v>——</v>
      </c>
      <c r="I85" s="3362">
        <v>0.1</v>
      </c>
      <c r="J85" s="1060">
        <f t="shared" si="24"/>
        <v>0</v>
      </c>
      <c r="K85" s="1060">
        <f t="shared" si="25"/>
        <v>0</v>
      </c>
      <c r="L85" s="1060">
        <v>0</v>
      </c>
      <c r="M85" s="1060">
        <f t="shared" si="26"/>
        <v>0</v>
      </c>
      <c r="N85" s="1060">
        <f t="shared" si="26"/>
        <v>0</v>
      </c>
      <c r="Z85" s="1993"/>
      <c r="AA85" s="2048"/>
      <c r="AG85" s="1117"/>
      <c r="AK85" s="2048"/>
    </row>
    <row r="86" spans="1:37" ht="14.25">
      <c r="A86" s="2125" t="s">
        <v>2064</v>
      </c>
      <c r="B86" s="2129">
        <f>估价对象房地状况!G22</f>
        <v>0</v>
      </c>
      <c r="C86" s="2039" t="s">
        <v>3605</v>
      </c>
      <c r="D86" s="1061">
        <f t="shared" si="22"/>
        <v>0</v>
      </c>
      <c r="E86" s="745"/>
      <c r="F86" s="1809"/>
      <c r="G86" s="1059"/>
      <c r="H86" s="1062" t="str">
        <f t="shared" si="23"/>
        <v>——</v>
      </c>
      <c r="I86" s="3362">
        <v>0.05</v>
      </c>
      <c r="J86" s="1060">
        <f t="shared" si="24"/>
        <v>0</v>
      </c>
      <c r="K86" s="1060">
        <f t="shared" si="25"/>
        <v>0</v>
      </c>
      <c r="L86" s="1060">
        <v>0</v>
      </c>
      <c r="M86" s="1060">
        <f t="shared" si="26"/>
        <v>0</v>
      </c>
      <c r="N86" s="1060">
        <f t="shared" si="26"/>
        <v>0</v>
      </c>
      <c r="Z86" s="1993"/>
      <c r="AA86" s="2048"/>
      <c r="AG86" s="1117"/>
      <c r="AK86" s="2048"/>
    </row>
    <row r="87" spans="1:37" ht="25.5">
      <c r="A87" s="2125" t="s">
        <v>2056</v>
      </c>
      <c r="B87" s="1321" t="str">
        <f>估价对象房地状况!G19</f>
        <v>估价对象所在区域公共配套设施齐备情况</v>
      </c>
      <c r="C87" s="2039" t="s">
        <v>3592</v>
      </c>
      <c r="D87" s="1061">
        <f t="shared" si="22"/>
        <v>0</v>
      </c>
      <c r="E87" s="745"/>
      <c r="F87" s="1809"/>
      <c r="G87" s="1059"/>
      <c r="H87" s="1062" t="str">
        <f t="shared" si="23"/>
        <v>——</v>
      </c>
      <c r="I87" s="3362">
        <v>0.06</v>
      </c>
      <c r="J87" s="1060">
        <f t="shared" si="24"/>
        <v>0</v>
      </c>
      <c r="K87" s="1060">
        <f t="shared" si="25"/>
        <v>0</v>
      </c>
      <c r="L87" s="1060">
        <v>0</v>
      </c>
      <c r="M87" s="1060">
        <f t="shared" si="26"/>
        <v>0</v>
      </c>
      <c r="N87" s="1060">
        <f t="shared" si="26"/>
        <v>0</v>
      </c>
    </row>
    <row r="88" spans="1:37" ht="25.5">
      <c r="A88" s="2125" t="s">
        <v>2057</v>
      </c>
      <c r="B88" s="1321" t="str">
        <f>估价对象房地状况!G20</f>
        <v>估价对象所在区域基础设施水平</v>
      </c>
      <c r="C88" s="2039" t="s">
        <v>3606</v>
      </c>
      <c r="D88" s="1061">
        <f t="shared" si="22"/>
        <v>0</v>
      </c>
      <c r="E88" s="745"/>
      <c r="F88" s="1809"/>
      <c r="G88" s="1059"/>
      <c r="H88" s="1062" t="str">
        <f t="shared" si="23"/>
        <v>——</v>
      </c>
      <c r="I88" s="3362">
        <v>0.12</v>
      </c>
      <c r="J88" s="1060">
        <f t="shared" si="24"/>
        <v>0</v>
      </c>
      <c r="K88" s="1060">
        <f t="shared" si="25"/>
        <v>0</v>
      </c>
      <c r="L88" s="1060">
        <v>0</v>
      </c>
      <c r="M88" s="1060">
        <f t="shared" si="26"/>
        <v>0</v>
      </c>
      <c r="N88" s="1060">
        <f t="shared" si="26"/>
        <v>0</v>
      </c>
    </row>
    <row r="89" spans="1:37" ht="24">
      <c r="A89" s="2125" t="s">
        <v>2054</v>
      </c>
      <c r="B89" s="2131" t="s">
        <v>2068</v>
      </c>
      <c r="C89" s="2039" t="s">
        <v>3593</v>
      </c>
      <c r="D89" s="1061">
        <f t="shared" si="22"/>
        <v>0</v>
      </c>
      <c r="E89" s="745"/>
      <c r="F89" s="1809"/>
      <c r="G89" s="1059"/>
      <c r="H89" s="1062" t="str">
        <f t="shared" si="23"/>
        <v>——</v>
      </c>
      <c r="I89" s="3362">
        <v>0.06</v>
      </c>
      <c r="J89" s="1060">
        <f t="shared" si="24"/>
        <v>0</v>
      </c>
      <c r="K89" s="1060">
        <f t="shared" si="25"/>
        <v>0</v>
      </c>
      <c r="L89" s="1060">
        <v>0</v>
      </c>
      <c r="M89" s="1060">
        <f t="shared" si="26"/>
        <v>0</v>
      </c>
      <c r="N89" s="1060">
        <f t="shared" si="26"/>
        <v>0</v>
      </c>
    </row>
    <row r="90" spans="1:37" ht="39" thickBot="1">
      <c r="A90" s="2133" t="s">
        <v>2069</v>
      </c>
      <c r="B90" s="2138" t="str">
        <f>估价对象房地状况!G18</f>
        <v>该园区内是否有污染型企业，绿化情况，卫生条件，整体环境状况判断</v>
      </c>
      <c r="C90" s="2039" t="s">
        <v>3593</v>
      </c>
      <c r="D90" s="1061">
        <f t="shared" si="22"/>
        <v>0</v>
      </c>
      <c r="E90" s="746"/>
      <c r="F90" s="1809"/>
      <c r="G90" s="1059"/>
      <c r="H90" s="1062" t="str">
        <f t="shared" si="23"/>
        <v>——</v>
      </c>
      <c r="I90" s="3363">
        <v>0.05</v>
      </c>
      <c r="J90" s="1060">
        <f t="shared" si="24"/>
        <v>0</v>
      </c>
      <c r="K90" s="1060">
        <f t="shared" si="25"/>
        <v>0</v>
      </c>
      <c r="L90" s="1060">
        <v>0</v>
      </c>
      <c r="M90" s="1060">
        <f t="shared" si="26"/>
        <v>0</v>
      </c>
      <c r="N90" s="1060">
        <f t="shared" si="26"/>
        <v>0</v>
      </c>
    </row>
    <row r="91" spans="1:37" ht="15">
      <c r="A91" s="3372" t="s">
        <v>2613</v>
      </c>
      <c r="B91" s="3373">
        <f>1+E93</f>
        <v>1.0401</v>
      </c>
      <c r="C91" s="3366"/>
      <c r="D91" s="3367"/>
      <c r="E91" s="1809"/>
      <c r="F91" s="1809"/>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1"/>
      <c r="C93" s="2039" t="s">
        <v>3593</v>
      </c>
      <c r="D93" s="3361">
        <f>SUMIF($J$92:$N$92,C93,J93:N93)</f>
        <v>1.6199999999999999E-2</v>
      </c>
      <c r="E93" s="3377">
        <f>ROUND(SUM(D93:D101),4)</f>
        <v>4.0099999999999997E-2</v>
      </c>
      <c r="F93" s="1809">
        <f>IF(E2="公共服务",SUMIF(L1:L12,G2,N1:N12),"——")</f>
        <v>0.13</v>
      </c>
      <c r="G93" s="3368">
        <v>1.6199999999999999E-2</v>
      </c>
      <c r="H93" s="3416">
        <f>IFERROR(ROUNDDOWN($F$93*I93/2,4),"——")</f>
        <v>1.6199999999999999E-2</v>
      </c>
      <c r="I93" s="3362">
        <v>0.25</v>
      </c>
      <c r="J93" s="3340">
        <f t="shared" ref="J93:J101" si="27">K93+$G93</f>
        <v>3.2399999999999998E-2</v>
      </c>
      <c r="K93" s="3340">
        <f t="shared" ref="K93:K101" si="28">$L93+$G93</f>
        <v>1.6199999999999999E-2</v>
      </c>
      <c r="L93" s="3340">
        <v>0</v>
      </c>
      <c r="M93" s="3340">
        <f t="shared" ref="M93:N101" si="29">L93-$G93</f>
        <v>-1.6199999999999999E-2</v>
      </c>
      <c r="N93" s="3340">
        <f t="shared" si="29"/>
        <v>-3.2399999999999998E-2</v>
      </c>
    </row>
    <row r="94" spans="1:37" ht="38.25">
      <c r="A94" s="3374" t="s">
        <v>3274</v>
      </c>
      <c r="B94" s="3365" t="str">
        <f>估价对象房地状况!C18</f>
        <v>估价对象周边道路状况、公共交通通达情况、停车便捷程度，综合评价交通便捷度较好</v>
      </c>
      <c r="C94" s="2039" t="s">
        <v>3592</v>
      </c>
      <c r="D94" s="3361">
        <f t="shared" ref="D94:D101" si="30">SUMIF($J$60:$N$60,C94,J94:N94)</f>
        <v>0</v>
      </c>
      <c r="E94" s="3378"/>
      <c r="F94" s="1809"/>
      <c r="G94" s="3368">
        <v>1.6899999999999998E-2</v>
      </c>
      <c r="H94" s="3416">
        <f>IFERROR(ROUNDDOWN($F$93*I94/2,4),"——")</f>
        <v>1.6899999999999998E-2</v>
      </c>
      <c r="I94" s="3362">
        <v>0.26</v>
      </c>
      <c r="J94" s="3340">
        <f t="shared" si="27"/>
        <v>3.3799999999999997E-2</v>
      </c>
      <c r="K94" s="3340">
        <f t="shared" si="28"/>
        <v>1.6899999999999998E-2</v>
      </c>
      <c r="L94" s="3340">
        <v>0</v>
      </c>
      <c r="M94" s="3340">
        <f t="shared" si="29"/>
        <v>-1.6899999999999998E-2</v>
      </c>
      <c r="N94" s="3340">
        <f t="shared" si="29"/>
        <v>-3.3799999999999997E-2</v>
      </c>
    </row>
    <row r="95" spans="1:37" ht="36">
      <c r="A95" s="3364" t="s">
        <v>3270</v>
      </c>
      <c r="B95" s="3365">
        <f>估价对象房地状况!C19</f>
        <v>0</v>
      </c>
      <c r="C95" s="2039" t="s">
        <v>3593</v>
      </c>
      <c r="D95" s="3361">
        <f t="shared" si="30"/>
        <v>7.1000000000000004E-3</v>
      </c>
      <c r="E95" s="3378"/>
      <c r="F95" s="1809"/>
      <c r="G95" s="3368">
        <v>7.1000000000000004E-3</v>
      </c>
      <c r="H95" s="3416">
        <f t="shared" ref="H95:H101" si="31">IFERROR(ROUNDDOWN($F$93*I95/2,4),"——")</f>
        <v>7.1000000000000004E-3</v>
      </c>
      <c r="I95" s="3362">
        <v>0.11</v>
      </c>
      <c r="J95" s="3340">
        <f t="shared" si="27"/>
        <v>1.4200000000000001E-2</v>
      </c>
      <c r="K95" s="3340">
        <f t="shared" si="28"/>
        <v>7.1000000000000004E-3</v>
      </c>
      <c r="L95" s="3340">
        <v>0</v>
      </c>
      <c r="M95" s="3340">
        <f t="shared" si="29"/>
        <v>-7.1000000000000004E-3</v>
      </c>
      <c r="N95" s="3340">
        <f t="shared" si="29"/>
        <v>-1.4200000000000001E-2</v>
      </c>
    </row>
    <row r="96" spans="1:37" ht="36.75">
      <c r="A96" s="3374" t="s">
        <v>3275</v>
      </c>
      <c r="B96" s="3380" t="s">
        <v>3286</v>
      </c>
      <c r="C96" s="2039" t="s">
        <v>3592</v>
      </c>
      <c r="D96" s="3361">
        <f t="shared" si="30"/>
        <v>0</v>
      </c>
      <c r="E96" s="3378"/>
      <c r="F96" s="1809"/>
      <c r="G96" s="3368">
        <v>3.2000000000000002E-3</v>
      </c>
      <c r="H96" s="3416">
        <f t="shared" si="31"/>
        <v>3.2000000000000002E-3</v>
      </c>
      <c r="I96" s="3362">
        <v>0.05</v>
      </c>
      <c r="J96" s="3340">
        <f t="shared" si="27"/>
        <v>6.4000000000000003E-3</v>
      </c>
      <c r="K96" s="3340">
        <f t="shared" si="28"/>
        <v>3.2000000000000002E-3</v>
      </c>
      <c r="L96" s="3340">
        <v>0</v>
      </c>
      <c r="M96" s="3340">
        <f t="shared" si="29"/>
        <v>-3.2000000000000002E-3</v>
      </c>
      <c r="N96" s="3340">
        <f t="shared" si="29"/>
        <v>-6.4000000000000003E-3</v>
      </c>
    </row>
    <row r="97" spans="1:14" ht="24">
      <c r="A97" s="3374" t="s">
        <v>3276</v>
      </c>
      <c r="B97" s="3365">
        <f>估价对象房地状况!C24</f>
        <v>0</v>
      </c>
      <c r="C97" s="2039" t="s">
        <v>3605</v>
      </c>
      <c r="D97" s="3361">
        <f t="shared" si="30"/>
        <v>-3.2000000000000002E-3</v>
      </c>
      <c r="E97" s="3378"/>
      <c r="F97" s="1809"/>
      <c r="G97" s="3368">
        <v>3.2000000000000002E-3</v>
      </c>
      <c r="H97" s="3416">
        <f t="shared" si="31"/>
        <v>3.2000000000000002E-3</v>
      </c>
      <c r="I97" s="3362">
        <v>0.05</v>
      </c>
      <c r="J97" s="3340">
        <f t="shared" si="27"/>
        <v>6.4000000000000003E-3</v>
      </c>
      <c r="K97" s="3340">
        <f t="shared" si="28"/>
        <v>3.2000000000000002E-3</v>
      </c>
      <c r="L97" s="3340">
        <v>0</v>
      </c>
      <c r="M97" s="3340">
        <f t="shared" si="29"/>
        <v>-3.2000000000000002E-3</v>
      </c>
      <c r="N97" s="3340">
        <f t="shared" si="29"/>
        <v>-6.4000000000000003E-3</v>
      </c>
    </row>
    <row r="98" spans="1:14" ht="24">
      <c r="A98" s="3374" t="s">
        <v>3277</v>
      </c>
      <c r="B98" s="3381" t="s">
        <v>3287</v>
      </c>
      <c r="C98" s="2039" t="s">
        <v>3593</v>
      </c>
      <c r="D98" s="3361">
        <f t="shared" si="30"/>
        <v>3.8999999999999998E-3</v>
      </c>
      <c r="E98" s="3378"/>
      <c r="F98" s="1809"/>
      <c r="G98" s="3368">
        <v>3.8999999999999998E-3</v>
      </c>
      <c r="H98" s="3416">
        <f t="shared" si="31"/>
        <v>3.8999999999999998E-3</v>
      </c>
      <c r="I98" s="3362">
        <v>0.06</v>
      </c>
      <c r="J98" s="3340">
        <f t="shared" si="27"/>
        <v>7.7999999999999996E-3</v>
      </c>
      <c r="K98" s="3340">
        <f t="shared" si="28"/>
        <v>3.8999999999999998E-3</v>
      </c>
      <c r="L98" s="3340">
        <v>0</v>
      </c>
      <c r="M98" s="3340">
        <f t="shared" si="29"/>
        <v>-3.8999999999999998E-3</v>
      </c>
      <c r="N98" s="3340">
        <f t="shared" si="29"/>
        <v>-7.7999999999999996E-3</v>
      </c>
    </row>
    <row r="99" spans="1:14" ht="25.5">
      <c r="A99" s="3374" t="s">
        <v>3278</v>
      </c>
      <c r="B99" s="3365" t="str">
        <f>估价对象房地状况!C21</f>
        <v>估价对象所在区域公共配套设施齐备情况</v>
      </c>
      <c r="C99" s="2039" t="s">
        <v>3592</v>
      </c>
      <c r="D99" s="3361">
        <f t="shared" si="30"/>
        <v>0</v>
      </c>
      <c r="E99" s="3378"/>
      <c r="F99" s="1809"/>
      <c r="G99" s="3368">
        <v>3.8999999999999998E-3</v>
      </c>
      <c r="H99" s="3416">
        <f t="shared" si="31"/>
        <v>3.8999999999999998E-3</v>
      </c>
      <c r="I99" s="3362">
        <v>0.06</v>
      </c>
      <c r="J99" s="3340">
        <f t="shared" si="27"/>
        <v>7.7999999999999996E-3</v>
      </c>
      <c r="K99" s="3340">
        <f t="shared" si="28"/>
        <v>3.8999999999999998E-3</v>
      </c>
      <c r="L99" s="3340">
        <v>0</v>
      </c>
      <c r="M99" s="3340">
        <f t="shared" si="29"/>
        <v>-3.8999999999999998E-3</v>
      </c>
      <c r="N99" s="3340">
        <f t="shared" si="29"/>
        <v>-7.7999999999999996E-3</v>
      </c>
    </row>
    <row r="100" spans="1:14" ht="25.5">
      <c r="A100" s="3374" t="s">
        <v>3279</v>
      </c>
      <c r="B100" s="3365" t="str">
        <f>估价对象房地状况!C22</f>
        <v>估价对象所在区域基础设施水平</v>
      </c>
      <c r="C100" s="2039" t="s">
        <v>3606</v>
      </c>
      <c r="D100" s="3361">
        <f t="shared" si="30"/>
        <v>1.1599999999999999E-2</v>
      </c>
      <c r="E100" s="3378"/>
      <c r="F100" s="1809"/>
      <c r="G100" s="3368">
        <v>5.7999999999999996E-3</v>
      </c>
      <c r="H100" s="3416">
        <f t="shared" si="31"/>
        <v>5.7999999999999996E-3</v>
      </c>
      <c r="I100" s="3362">
        <v>0.09</v>
      </c>
      <c r="J100" s="3340">
        <f t="shared" si="27"/>
        <v>1.1599999999999999E-2</v>
      </c>
      <c r="K100" s="3340">
        <f t="shared" si="28"/>
        <v>5.7999999999999996E-3</v>
      </c>
      <c r="L100" s="3340">
        <v>0</v>
      </c>
      <c r="M100" s="3340">
        <f t="shared" si="29"/>
        <v>-5.7999999999999996E-3</v>
      </c>
      <c r="N100" s="3340">
        <f t="shared" si="29"/>
        <v>-1.1599999999999999E-2</v>
      </c>
    </row>
    <row r="101" spans="1:14" ht="26.25" thickBot="1">
      <c r="A101" s="3375" t="s">
        <v>3280</v>
      </c>
      <c r="B101" s="3382" t="str">
        <f>估价对象房地状况!C20</f>
        <v>区域自然环境：；人文环境；综合评价环境状况一般</v>
      </c>
      <c r="C101" s="2039" t="s">
        <v>3593</v>
      </c>
      <c r="D101" s="3361">
        <f t="shared" si="30"/>
        <v>4.4999999999999997E-3</v>
      </c>
      <c r="E101" s="3379"/>
      <c r="F101" s="1809"/>
      <c r="G101" s="3368">
        <v>4.4999999999999997E-3</v>
      </c>
      <c r="H101" s="3416">
        <f t="shared" si="31"/>
        <v>4.4999999999999997E-3</v>
      </c>
      <c r="I101" s="3363">
        <v>7.0000000000000007E-2</v>
      </c>
      <c r="J101" s="3340">
        <f t="shared" si="27"/>
        <v>8.9999999999999993E-3</v>
      </c>
      <c r="K101" s="3340">
        <f t="shared" si="28"/>
        <v>4.4999999999999997E-3</v>
      </c>
      <c r="L101" s="3340">
        <v>0</v>
      </c>
      <c r="M101" s="3340">
        <f t="shared" si="29"/>
        <v>-4.4999999999999997E-3</v>
      </c>
      <c r="N101" s="3340">
        <f t="shared" si="29"/>
        <v>-8.9999999999999993E-3</v>
      </c>
    </row>
    <row r="103" spans="1:14">
      <c r="A103" s="3791" t="s">
        <v>3295</v>
      </c>
      <c r="B103" s="3791"/>
      <c r="C103" s="3791"/>
      <c r="D103" s="3791"/>
      <c r="E103" s="3791"/>
      <c r="F103" s="3791"/>
      <c r="G103" s="3791"/>
      <c r="H103" s="3791"/>
      <c r="I103" s="3791"/>
      <c r="J103" s="3791"/>
      <c r="K103" s="3385"/>
      <c r="L103" s="3385"/>
      <c r="M103" s="3385"/>
      <c r="N103" s="3385"/>
    </row>
    <row r="104" spans="1:14">
      <c r="A104" s="3792" t="s">
        <v>3296</v>
      </c>
      <c r="B104" s="3792" t="s">
        <v>3297</v>
      </c>
      <c r="C104" s="3386" t="s">
        <v>3298</v>
      </c>
      <c r="D104" s="3387"/>
      <c r="E104" s="3387"/>
      <c r="F104" s="3387"/>
      <c r="G104" s="3387"/>
      <c r="H104" s="3387"/>
      <c r="I104" s="3387"/>
      <c r="J104" s="3388"/>
      <c r="K104" s="3389"/>
      <c r="L104" s="3389"/>
      <c r="M104" s="3389"/>
      <c r="N104" s="3389"/>
    </row>
    <row r="105" spans="1:14">
      <c r="A105" s="3792"/>
      <c r="B105" s="3792"/>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78"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7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7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7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7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79"/>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80"/>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81" t="s">
        <v>3312</v>
      </c>
      <c r="B113" s="3781"/>
      <c r="C113" s="3781"/>
      <c r="D113" s="3781"/>
      <c r="E113" s="3781"/>
      <c r="F113" s="3781"/>
      <c r="G113" s="3781"/>
      <c r="H113" s="3781"/>
      <c r="I113" s="3781"/>
      <c r="J113" s="378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5.16</v>
      </c>
      <c r="C116" s="3395" t="s">
        <v>3314</v>
      </c>
      <c r="D116" s="3396">
        <f>SUMPRODUCT((A118:A122=F116)*(B117:M117=H116)*B118:M122)</f>
        <v>0.82579999999999998</v>
      </c>
      <c r="E116" s="1995" t="s">
        <v>3315</v>
      </c>
      <c r="F116" s="3397" t="str">
        <f>E2</f>
        <v>公共服务</v>
      </c>
      <c r="G116" s="1995" t="s">
        <v>3316</v>
      </c>
      <c r="H116" s="3397" t="str">
        <f>G2</f>
        <v>七级</v>
      </c>
      <c r="I116" s="1995"/>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0.94</v>
      </c>
      <c r="C118" s="3383">
        <f>B118</f>
        <v>0.94</v>
      </c>
      <c r="D118" s="3383">
        <f>ROUND(0.949-0.014*B116,4)</f>
        <v>0.87680000000000002</v>
      </c>
      <c r="E118" s="3383">
        <f>D118</f>
        <v>0.87680000000000002</v>
      </c>
      <c r="F118" s="3383">
        <f>E118</f>
        <v>0.87680000000000002</v>
      </c>
      <c r="G118" s="3383">
        <f>F118</f>
        <v>0.87680000000000002</v>
      </c>
      <c r="H118" s="3383">
        <f>G118</f>
        <v>0.87680000000000002</v>
      </c>
      <c r="I118" s="3383">
        <f>ROUND(0.8486-0.018*B116,4)</f>
        <v>0.75570000000000004</v>
      </c>
      <c r="J118" s="3383">
        <f t="shared" ref="J118:M122" si="35">I118</f>
        <v>0.75570000000000004</v>
      </c>
      <c r="K118" s="3383">
        <f t="shared" si="35"/>
        <v>0.75570000000000004</v>
      </c>
      <c r="L118" s="3383">
        <f t="shared" si="35"/>
        <v>0.75570000000000004</v>
      </c>
      <c r="M118" s="3406">
        <f t="shared" si="35"/>
        <v>0.75570000000000004</v>
      </c>
      <c r="N118" s="3393"/>
    </row>
    <row r="119" spans="1:14">
      <c r="A119" s="3405" t="s">
        <v>3330</v>
      </c>
      <c r="B119" s="3383">
        <f>ROUND(0.993-0.0112*B116,4)</f>
        <v>0.93520000000000003</v>
      </c>
      <c r="C119" s="3383">
        <f>B119</f>
        <v>0.93520000000000003</v>
      </c>
      <c r="D119" s="3383">
        <f>ROUND(0.9415-0.0142*B116,4)</f>
        <v>0.86819999999999997</v>
      </c>
      <c r="E119" s="3383">
        <f t="shared" ref="E119:H120" si="36">D119</f>
        <v>0.86819999999999997</v>
      </c>
      <c r="F119" s="3383">
        <f t="shared" si="36"/>
        <v>0.86819999999999997</v>
      </c>
      <c r="G119" s="3383">
        <f t="shared" si="36"/>
        <v>0.86819999999999997</v>
      </c>
      <c r="H119" s="3383">
        <f t="shared" si="36"/>
        <v>0.86819999999999997</v>
      </c>
      <c r="I119" s="3383">
        <f>ROUND(0.838-0.0182*B116,4)</f>
        <v>0.74409999999999998</v>
      </c>
      <c r="J119" s="3383">
        <f t="shared" si="35"/>
        <v>0.74409999999999998</v>
      </c>
      <c r="K119" s="3383">
        <f t="shared" si="35"/>
        <v>0.74409999999999998</v>
      </c>
      <c r="L119" s="3383">
        <f t="shared" si="35"/>
        <v>0.74409999999999998</v>
      </c>
      <c r="M119" s="3406">
        <f t="shared" si="35"/>
        <v>0.74409999999999998</v>
      </c>
      <c r="N119" s="3393"/>
    </row>
    <row r="120" spans="1:14">
      <c r="A120" s="3405" t="s">
        <v>3331</v>
      </c>
      <c r="B120" s="3383">
        <f>ROUND(0.9448-0.0115*B116,4)</f>
        <v>0.88549999999999995</v>
      </c>
      <c r="C120" s="3383">
        <f>B120</f>
        <v>0.88549999999999995</v>
      </c>
      <c r="D120" s="3383">
        <f>ROUND(0.937-0.0145*B116,4)</f>
        <v>0.86219999999999997</v>
      </c>
      <c r="E120" s="3383">
        <f t="shared" si="36"/>
        <v>0.86219999999999997</v>
      </c>
      <c r="F120" s="3383">
        <f t="shared" si="36"/>
        <v>0.86219999999999997</v>
      </c>
      <c r="G120" s="3383">
        <f t="shared" si="36"/>
        <v>0.86219999999999997</v>
      </c>
      <c r="H120" s="3383">
        <f t="shared" si="36"/>
        <v>0.86219999999999997</v>
      </c>
      <c r="I120" s="3383">
        <f>ROUND(0.7965-0.0185*B116,4)</f>
        <v>0.70099999999999996</v>
      </c>
      <c r="J120" s="3383">
        <f t="shared" si="35"/>
        <v>0.70099999999999996</v>
      </c>
      <c r="K120" s="3383">
        <f t="shared" si="35"/>
        <v>0.70099999999999996</v>
      </c>
      <c r="L120" s="3383">
        <f t="shared" si="35"/>
        <v>0.70099999999999996</v>
      </c>
      <c r="M120" s="3406">
        <f t="shared" si="35"/>
        <v>0.70099999999999996</v>
      </c>
      <c r="N120" s="3393"/>
    </row>
    <row r="121" spans="1:14" ht="13.5" thickBot="1">
      <c r="A121" s="3407" t="s">
        <v>3332</v>
      </c>
      <c r="B121" s="3408">
        <f>ROUND(0.7836-0.012*B116,4)</f>
        <v>0.72170000000000001</v>
      </c>
      <c r="C121" s="3408">
        <f>B121</f>
        <v>0.72170000000000001</v>
      </c>
      <c r="D121" s="3408">
        <f>ROUND(0.753-0.015*B116,4)</f>
        <v>0.67559999999999998</v>
      </c>
      <c r="E121" s="3408">
        <f>D121</f>
        <v>0.67559999999999998</v>
      </c>
      <c r="F121" s="3408">
        <f>E121</f>
        <v>0.67559999999999998</v>
      </c>
      <c r="G121" s="3408">
        <f>ROUND(0.6612-0.018*B116,4)</f>
        <v>0.56830000000000003</v>
      </c>
      <c r="H121" s="3408">
        <f>G121</f>
        <v>0.56830000000000003</v>
      </c>
      <c r="I121" s="3408">
        <f>ROUND(0.5905-0.019*B116,4)</f>
        <v>0.49249999999999999</v>
      </c>
      <c r="J121" s="3408">
        <f t="shared" si="35"/>
        <v>0.49249999999999999</v>
      </c>
      <c r="K121" s="3408">
        <f t="shared" si="35"/>
        <v>0.49249999999999999</v>
      </c>
      <c r="L121" s="3408">
        <f t="shared" si="35"/>
        <v>0.49249999999999999</v>
      </c>
      <c r="M121" s="3409">
        <f t="shared" si="35"/>
        <v>0.49249999999999999</v>
      </c>
      <c r="N121" s="3393"/>
    </row>
    <row r="122" spans="1:14">
      <c r="A122" s="3410" t="s">
        <v>2613</v>
      </c>
      <c r="B122" s="3383">
        <f>ROUND(0.9404-0.0106*B116,4)</f>
        <v>0.88570000000000004</v>
      </c>
      <c r="C122" s="3383">
        <f>B122</f>
        <v>0.88570000000000004</v>
      </c>
      <c r="D122" s="3383">
        <f>ROUND(0.8955-0.0135*B116,4)</f>
        <v>0.82579999999999998</v>
      </c>
      <c r="E122" s="3383">
        <f t="shared" ref="E122:H122" si="37">D122</f>
        <v>0.82579999999999998</v>
      </c>
      <c r="F122" s="3383">
        <f t="shared" si="37"/>
        <v>0.82579999999999998</v>
      </c>
      <c r="G122" s="3383">
        <f t="shared" si="37"/>
        <v>0.82579999999999998</v>
      </c>
      <c r="H122" s="3383">
        <f t="shared" si="37"/>
        <v>0.82579999999999998</v>
      </c>
      <c r="I122" s="3383">
        <f>ROUND(0.7632-0.0166*B116,4)</f>
        <v>0.67749999999999999</v>
      </c>
      <c r="J122" s="3383">
        <f t="shared" si="35"/>
        <v>0.67749999999999999</v>
      </c>
      <c r="K122" s="3383">
        <f t="shared" si="35"/>
        <v>0.67749999999999999</v>
      </c>
      <c r="L122" s="3383">
        <f t="shared" si="35"/>
        <v>0.67749999999999999</v>
      </c>
      <c r="M122" s="3406">
        <f t="shared" si="35"/>
        <v>0.67749999999999999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topLeftCell="A49" zoomScale="90" zoomScaleNormal="90" workbookViewId="0">
      <selection activeCell="G63" sqref="G63"/>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06" t="s">
        <v>2608</v>
      </c>
      <c r="B20" s="3801" t="s">
        <v>2629</v>
      </c>
      <c r="C20" s="3098" t="s">
        <v>2440</v>
      </c>
      <c r="D20" s="3099"/>
      <c r="E20" s="3100">
        <v>1</v>
      </c>
      <c r="F20" s="3101" t="s">
        <v>2441</v>
      </c>
      <c r="G20" s="3101"/>
    </row>
    <row r="21" spans="1:13" ht="19.5" customHeight="1">
      <c r="A21" s="3807"/>
      <c r="B21" s="3800"/>
      <c r="C21" s="3102" t="s">
        <v>2442</v>
      </c>
      <c r="D21" s="3103"/>
      <c r="E21" s="3104">
        <v>1</v>
      </c>
      <c r="F21" s="3101" t="s">
        <v>2443</v>
      </c>
      <c r="G21" s="3101"/>
    </row>
    <row r="22" spans="1:13" ht="19.5" customHeight="1">
      <c r="A22" s="3807"/>
      <c r="B22" s="3800"/>
      <c r="C22" s="3102" t="s">
        <v>2444</v>
      </c>
      <c r="D22" s="3103"/>
      <c r="E22" s="3104">
        <v>0.9</v>
      </c>
      <c r="F22" s="3101" t="s">
        <v>2445</v>
      </c>
      <c r="G22" s="3101"/>
    </row>
    <row r="23" spans="1:13" ht="19.5" customHeight="1">
      <c r="A23" s="3807"/>
      <c r="B23" s="3800"/>
      <c r="C23" s="3102" t="s">
        <v>2446</v>
      </c>
      <c r="D23" s="3103"/>
      <c r="E23" s="3104">
        <v>0.9</v>
      </c>
      <c r="F23" s="3101" t="s">
        <v>2447</v>
      </c>
      <c r="G23" s="3101"/>
    </row>
    <row r="24" spans="1:13" ht="19.5" customHeight="1">
      <c r="A24" s="3807"/>
      <c r="B24" s="3800"/>
      <c r="C24" s="3102" t="s">
        <v>2448</v>
      </c>
      <c r="D24" s="3103"/>
      <c r="E24" s="3104">
        <v>0.8</v>
      </c>
      <c r="F24" s="3101" t="s">
        <v>2449</v>
      </c>
      <c r="G24" s="3101"/>
    </row>
    <row r="25" spans="1:13" ht="19.5" customHeight="1" thickBot="1">
      <c r="A25" s="3808"/>
      <c r="B25" s="3802"/>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03" t="s">
        <v>2632</v>
      </c>
      <c r="B27" s="3801" t="s">
        <v>2613</v>
      </c>
      <c r="C27" s="3098" t="s">
        <v>2453</v>
      </c>
      <c r="D27" s="3099"/>
      <c r="E27" s="3100">
        <v>1</v>
      </c>
      <c r="F27" s="3101" t="s">
        <v>2454</v>
      </c>
      <c r="G27" s="3101"/>
    </row>
    <row r="28" spans="1:13" ht="19.5" customHeight="1">
      <c r="A28" s="3804"/>
      <c r="B28" s="3800"/>
      <c r="C28" s="3102" t="s">
        <v>2455</v>
      </c>
      <c r="D28" s="3103"/>
      <c r="E28" s="3104">
        <v>1</v>
      </c>
      <c r="F28" s="3101" t="s">
        <v>2456</v>
      </c>
      <c r="G28" s="3101"/>
    </row>
    <row r="29" spans="1:13" ht="19.5" customHeight="1">
      <c r="A29" s="3804"/>
      <c r="B29" s="3800"/>
      <c r="C29" s="3102" t="s">
        <v>2457</v>
      </c>
      <c r="D29" s="3103"/>
      <c r="E29" s="3104">
        <v>0.8</v>
      </c>
      <c r="F29" s="3101" t="s">
        <v>2458</v>
      </c>
      <c r="G29" s="3101"/>
    </row>
    <row r="30" spans="1:13" ht="19.5" customHeight="1">
      <c r="A30" s="3804"/>
      <c r="B30" s="3800"/>
      <c r="C30" s="3102" t="s">
        <v>2459</v>
      </c>
      <c r="D30" s="3103"/>
      <c r="E30" s="3104">
        <v>0.8</v>
      </c>
      <c r="F30" s="3101" t="s">
        <v>2460</v>
      </c>
      <c r="G30" s="3101"/>
    </row>
    <row r="31" spans="1:13" ht="19.5" customHeight="1">
      <c r="A31" s="3804"/>
      <c r="B31" s="3800"/>
      <c r="C31" s="3102" t="s">
        <v>2461</v>
      </c>
      <c r="D31" s="3103"/>
      <c r="E31" s="3104">
        <v>0.8</v>
      </c>
      <c r="F31" s="3101" t="s">
        <v>2462</v>
      </c>
      <c r="G31" s="3101"/>
    </row>
    <row r="32" spans="1:13" ht="19.5" customHeight="1">
      <c r="A32" s="3804"/>
      <c r="B32" s="3800"/>
      <c r="C32" s="3102" t="s">
        <v>2463</v>
      </c>
      <c r="D32" s="3103"/>
      <c r="E32" s="3104">
        <v>0.7</v>
      </c>
      <c r="F32" s="3101" t="s">
        <v>2464</v>
      </c>
      <c r="G32" s="3101"/>
    </row>
    <row r="33" spans="1:7" ht="19.5" customHeight="1">
      <c r="A33" s="3804"/>
      <c r="B33" s="3800"/>
      <c r="C33" s="3102" t="s">
        <v>2465</v>
      </c>
      <c r="D33" s="3103"/>
      <c r="E33" s="3104">
        <v>0.8</v>
      </c>
      <c r="F33" s="3101" t="s">
        <v>2466</v>
      </c>
      <c r="G33" s="3101"/>
    </row>
    <row r="34" spans="1:7" ht="19.5" customHeight="1">
      <c r="A34" s="3804"/>
      <c r="B34" s="3800"/>
      <c r="C34" s="3102" t="s">
        <v>2467</v>
      </c>
      <c r="D34" s="3103"/>
      <c r="E34" s="3104">
        <v>0.6</v>
      </c>
      <c r="F34" s="3101" t="s">
        <v>2468</v>
      </c>
      <c r="G34" s="3101"/>
    </row>
    <row r="35" spans="1:7" ht="19.5" customHeight="1">
      <c r="A35" s="3804"/>
      <c r="B35" s="3800"/>
      <c r="C35" s="3102" t="s">
        <v>2469</v>
      </c>
      <c r="D35" s="3103"/>
      <c r="E35" s="3104">
        <v>0.2</v>
      </c>
      <c r="F35" s="3101" t="s">
        <v>2470</v>
      </c>
      <c r="G35" s="3101"/>
    </row>
    <row r="36" spans="1:7" ht="19.5" customHeight="1">
      <c r="A36" s="3804"/>
      <c r="B36" s="3800"/>
      <c r="C36" s="3102" t="s">
        <v>2471</v>
      </c>
      <c r="D36" s="3103"/>
      <c r="E36" s="3104">
        <v>0.2</v>
      </c>
      <c r="F36" s="3101" t="s">
        <v>2472</v>
      </c>
      <c r="G36" s="3101"/>
    </row>
    <row r="37" spans="1:7" ht="19.5" customHeight="1">
      <c r="A37" s="3804"/>
      <c r="B37" s="3798" t="s">
        <v>2633</v>
      </c>
      <c r="C37" s="3102" t="s">
        <v>2473</v>
      </c>
      <c r="D37" s="3103"/>
      <c r="E37" s="3104">
        <v>0.6</v>
      </c>
      <c r="F37" s="3101" t="s">
        <v>2474</v>
      </c>
      <c r="G37" s="3101"/>
    </row>
    <row r="38" spans="1:7" ht="19.5" customHeight="1">
      <c r="A38" s="3804"/>
      <c r="B38" s="3800"/>
      <c r="C38" s="3102" t="s">
        <v>2475</v>
      </c>
      <c r="D38" s="3103"/>
      <c r="E38" s="3104">
        <v>0.6</v>
      </c>
      <c r="F38" s="3101" t="s">
        <v>2476</v>
      </c>
      <c r="G38" s="3101"/>
    </row>
    <row r="39" spans="1:7" ht="19.5" customHeight="1" thickBot="1">
      <c r="A39" s="3805"/>
      <c r="B39" s="3802"/>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06" t="s">
        <v>2611</v>
      </c>
      <c r="B41" s="3801" t="s">
        <v>2635</v>
      </c>
      <c r="C41" s="3098" t="s">
        <v>2480</v>
      </c>
      <c r="D41" s="3099"/>
      <c r="E41" s="3100">
        <v>1</v>
      </c>
      <c r="F41" s="3101" t="s">
        <v>2481</v>
      </c>
      <c r="G41" s="3101"/>
    </row>
    <row r="42" spans="1:7" ht="19.5" customHeight="1">
      <c r="A42" s="3807"/>
      <c r="B42" s="3800"/>
      <c r="C42" s="3102" t="s">
        <v>2482</v>
      </c>
      <c r="D42" s="3103"/>
      <c r="E42" s="3104">
        <v>1</v>
      </c>
      <c r="F42" s="3101" t="s">
        <v>2483</v>
      </c>
      <c r="G42" s="3101"/>
    </row>
    <row r="43" spans="1:7" ht="19.5" customHeight="1">
      <c r="A43" s="3807"/>
      <c r="B43" s="3799"/>
      <c r="C43" s="3102" t="s">
        <v>2484</v>
      </c>
      <c r="D43" s="3103"/>
      <c r="E43" s="3104">
        <v>1.5</v>
      </c>
      <c r="F43" s="3101" t="s">
        <v>2485</v>
      </c>
      <c r="G43" s="3101"/>
    </row>
    <row r="44" spans="1:7" ht="19.5" customHeight="1">
      <c r="A44" s="3807"/>
      <c r="B44" s="3113" t="s">
        <v>2636</v>
      </c>
      <c r="C44" s="3102" t="s">
        <v>2637</v>
      </c>
      <c r="D44" s="3103"/>
      <c r="E44" s="3104">
        <v>2</v>
      </c>
      <c r="F44" s="3101" t="s">
        <v>2486</v>
      </c>
      <c r="G44" s="3101"/>
    </row>
    <row r="45" spans="1:7" ht="19.5" customHeight="1">
      <c r="A45" s="3807"/>
      <c r="B45" s="3798" t="s">
        <v>2638</v>
      </c>
      <c r="C45" s="3102" t="s">
        <v>2487</v>
      </c>
      <c r="D45" s="3103"/>
      <c r="E45" s="3104">
        <v>1</v>
      </c>
      <c r="F45" s="3101" t="s">
        <v>2488</v>
      </c>
      <c r="G45" s="3101"/>
    </row>
    <row r="46" spans="1:7" ht="19.5" customHeight="1">
      <c r="A46" s="3807"/>
      <c r="B46" s="3800"/>
      <c r="C46" s="3102" t="s">
        <v>2489</v>
      </c>
      <c r="D46" s="3103"/>
      <c r="E46" s="3104">
        <v>1</v>
      </c>
      <c r="F46" s="3101" t="s">
        <v>2490</v>
      </c>
      <c r="G46" s="3101"/>
    </row>
    <row r="47" spans="1:7" ht="19.5" customHeight="1">
      <c r="A47" s="3807"/>
      <c r="B47" s="3800"/>
      <c r="C47" s="3102" t="s">
        <v>2491</v>
      </c>
      <c r="D47" s="3103"/>
      <c r="E47" s="3104">
        <v>1</v>
      </c>
      <c r="F47" s="3101" t="s">
        <v>2492</v>
      </c>
      <c r="G47" s="3101"/>
    </row>
    <row r="48" spans="1:7" ht="19.5" customHeight="1">
      <c r="A48" s="3807"/>
      <c r="B48" s="3800"/>
      <c r="C48" s="3102" t="s">
        <v>2493</v>
      </c>
      <c r="D48" s="3103"/>
      <c r="E48" s="3104">
        <v>1</v>
      </c>
      <c r="F48" s="3101" t="s">
        <v>2494</v>
      </c>
      <c r="G48" s="3101"/>
    </row>
    <row r="49" spans="1:7" ht="19.5" customHeight="1">
      <c r="A49" s="3807"/>
      <c r="B49" s="3800"/>
      <c r="C49" s="3102" t="s">
        <v>2495</v>
      </c>
      <c r="D49" s="3103"/>
      <c r="E49" s="3104">
        <v>1</v>
      </c>
      <c r="F49" s="3101" t="s">
        <v>2496</v>
      </c>
      <c r="G49" s="3101"/>
    </row>
    <row r="50" spans="1:7" ht="19.5" customHeight="1">
      <c r="A50" s="3807"/>
      <c r="B50" s="3800"/>
      <c r="C50" s="3102" t="s">
        <v>2497</v>
      </c>
      <c r="D50" s="3103"/>
      <c r="E50" s="3104">
        <v>1</v>
      </c>
      <c r="F50" s="3101" t="s">
        <v>2498</v>
      </c>
      <c r="G50" s="3101"/>
    </row>
    <row r="51" spans="1:7" ht="19.5" customHeight="1" thickBot="1">
      <c r="A51" s="3808"/>
      <c r="B51" s="3802"/>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98" t="s">
        <v>2652</v>
      </c>
      <c r="C73" s="3087" t="s">
        <v>2653</v>
      </c>
      <c r="D73" s="3087" t="s">
        <v>2654</v>
      </c>
      <c r="E73" s="3113">
        <v>0.2</v>
      </c>
      <c r="F73" s="3113">
        <v>25</v>
      </c>
    </row>
    <row r="74" spans="1:7" ht="24">
      <c r="A74" s="3113">
        <v>2</v>
      </c>
      <c r="B74" s="3800"/>
      <c r="C74" s="3087" t="s">
        <v>2655</v>
      </c>
      <c r="D74" s="3087" t="s">
        <v>2656</v>
      </c>
      <c r="E74" s="3113">
        <v>0.2</v>
      </c>
      <c r="F74" s="3113">
        <v>25</v>
      </c>
    </row>
    <row r="75" spans="1:7" ht="24">
      <c r="A75" s="3113">
        <v>3</v>
      </c>
      <c r="B75" s="3800"/>
      <c r="C75" s="3087" t="s">
        <v>2657</v>
      </c>
      <c r="D75" s="3087" t="s">
        <v>2658</v>
      </c>
      <c r="E75" s="3113">
        <v>0.2</v>
      </c>
      <c r="F75" s="3113">
        <v>25</v>
      </c>
    </row>
    <row r="76" spans="1:7" ht="13.5">
      <c r="A76" s="3113">
        <v>4</v>
      </c>
      <c r="B76" s="3800"/>
      <c r="C76" s="3087" t="s">
        <v>2659</v>
      </c>
      <c r="D76" s="3087" t="s">
        <v>2660</v>
      </c>
      <c r="E76" s="3113">
        <v>0.15</v>
      </c>
      <c r="F76" s="3113">
        <v>20</v>
      </c>
    </row>
    <row r="77" spans="1:7" ht="24">
      <c r="A77" s="3113">
        <v>5</v>
      </c>
      <c r="B77" s="3800"/>
      <c r="C77" s="3087" t="s">
        <v>2661</v>
      </c>
      <c r="D77" s="3087" t="s">
        <v>2662</v>
      </c>
      <c r="E77" s="3113">
        <v>0.15</v>
      </c>
      <c r="F77" s="3113">
        <v>20</v>
      </c>
    </row>
    <row r="78" spans="1:7" ht="24">
      <c r="A78" s="3113">
        <v>6</v>
      </c>
      <c r="B78" s="3800"/>
      <c r="C78" s="3087" t="s">
        <v>2663</v>
      </c>
      <c r="D78" s="3087" t="s">
        <v>2664</v>
      </c>
      <c r="E78" s="3113">
        <v>0.15</v>
      </c>
      <c r="F78" s="3113">
        <v>20</v>
      </c>
    </row>
    <row r="79" spans="1:7" ht="24">
      <c r="A79" s="3113">
        <v>7</v>
      </c>
      <c r="B79" s="3800"/>
      <c r="C79" s="3087" t="s">
        <v>2665</v>
      </c>
      <c r="D79" s="3087" t="s">
        <v>2666</v>
      </c>
      <c r="E79" s="3113">
        <v>0.15</v>
      </c>
      <c r="F79" s="3113">
        <v>20</v>
      </c>
    </row>
    <row r="80" spans="1:7" ht="24">
      <c r="A80" s="3113">
        <v>8</v>
      </c>
      <c r="B80" s="3800"/>
      <c r="C80" s="3087" t="s">
        <v>2667</v>
      </c>
      <c r="D80" s="3087" t="s">
        <v>2668</v>
      </c>
      <c r="E80" s="3113">
        <v>0.1</v>
      </c>
      <c r="F80" s="3113">
        <v>15</v>
      </c>
    </row>
    <row r="81" spans="1:6" ht="24">
      <c r="A81" s="3113">
        <v>9</v>
      </c>
      <c r="B81" s="3800"/>
      <c r="C81" s="3087" t="s">
        <v>2669</v>
      </c>
      <c r="D81" s="3087" t="s">
        <v>2670</v>
      </c>
      <c r="E81" s="3113">
        <v>0.1</v>
      </c>
      <c r="F81" s="3113">
        <v>15</v>
      </c>
    </row>
    <row r="82" spans="1:6" ht="24">
      <c r="A82" s="3113">
        <v>10</v>
      </c>
      <c r="B82" s="3800"/>
      <c r="C82" s="3087" t="s">
        <v>2671</v>
      </c>
      <c r="D82" s="3087" t="s">
        <v>2672</v>
      </c>
      <c r="E82" s="3113">
        <v>0.1</v>
      </c>
      <c r="F82" s="3113">
        <v>15</v>
      </c>
    </row>
    <row r="83" spans="1:6" ht="24">
      <c r="A83" s="3113">
        <v>11</v>
      </c>
      <c r="B83" s="3800"/>
      <c r="C83" s="3087" t="s">
        <v>2673</v>
      </c>
      <c r="D83" s="3087" t="s">
        <v>2674</v>
      </c>
      <c r="E83" s="3113">
        <v>0.1</v>
      </c>
      <c r="F83" s="3113">
        <v>15</v>
      </c>
    </row>
    <row r="84" spans="1:6" ht="24">
      <c r="A84" s="3113">
        <v>12</v>
      </c>
      <c r="B84" s="3800"/>
      <c r="C84" s="3087" t="s">
        <v>2675</v>
      </c>
      <c r="D84" s="3087" t="s">
        <v>2676</v>
      </c>
      <c r="E84" s="3113">
        <v>0.1</v>
      </c>
      <c r="F84" s="3113">
        <v>15</v>
      </c>
    </row>
    <row r="85" spans="1:6" ht="13.5">
      <c r="A85" s="3113">
        <v>13</v>
      </c>
      <c r="B85" s="3800"/>
      <c r="C85" s="3087" t="s">
        <v>2677</v>
      </c>
      <c r="D85" s="3087" t="s">
        <v>2678</v>
      </c>
      <c r="E85" s="3113">
        <v>0.1</v>
      </c>
      <c r="F85" s="3113">
        <v>15</v>
      </c>
    </row>
    <row r="86" spans="1:6" ht="13.5">
      <c r="A86" s="3113">
        <v>14</v>
      </c>
      <c r="B86" s="3800"/>
      <c r="C86" s="3087" t="s">
        <v>2679</v>
      </c>
      <c r="D86" s="3087" t="s">
        <v>2680</v>
      </c>
      <c r="E86" s="3113">
        <v>0.1</v>
      </c>
      <c r="F86" s="3113">
        <v>15</v>
      </c>
    </row>
    <row r="87" spans="1:6" ht="13.5">
      <c r="A87" s="3113">
        <v>15</v>
      </c>
      <c r="B87" s="3800"/>
      <c r="C87" s="3087" t="s">
        <v>2681</v>
      </c>
      <c r="D87" s="3087" t="s">
        <v>2682</v>
      </c>
      <c r="E87" s="3113">
        <v>0.1</v>
      </c>
      <c r="F87" s="3113">
        <v>15</v>
      </c>
    </row>
    <row r="88" spans="1:6" ht="24">
      <c r="A88" s="3113">
        <v>16</v>
      </c>
      <c r="B88" s="3800"/>
      <c r="C88" s="3087" t="s">
        <v>2683</v>
      </c>
      <c r="D88" s="3087" t="s">
        <v>2684</v>
      </c>
      <c r="E88" s="3113">
        <v>0.1</v>
      </c>
      <c r="F88" s="3113">
        <v>15</v>
      </c>
    </row>
    <row r="89" spans="1:6" ht="24">
      <c r="A89" s="3113">
        <v>17</v>
      </c>
      <c r="B89" s="3799"/>
      <c r="C89" s="3087" t="s">
        <v>2685</v>
      </c>
      <c r="D89" s="3087" t="s">
        <v>2686</v>
      </c>
      <c r="E89" s="3113">
        <v>0.1</v>
      </c>
      <c r="F89" s="3113">
        <v>15</v>
      </c>
    </row>
    <row r="90" spans="1:6" ht="13.5">
      <c r="A90" s="3113">
        <v>18</v>
      </c>
      <c r="B90" s="3798" t="s">
        <v>2687</v>
      </c>
      <c r="C90" s="3087" t="s">
        <v>2688</v>
      </c>
      <c r="D90" s="3087" t="s">
        <v>2689</v>
      </c>
      <c r="E90" s="3113">
        <v>0.2</v>
      </c>
      <c r="F90" s="3113">
        <v>25</v>
      </c>
    </row>
    <row r="91" spans="1:6" ht="24">
      <c r="A91" s="3113">
        <v>19</v>
      </c>
      <c r="B91" s="3800"/>
      <c r="C91" s="3087" t="s">
        <v>2690</v>
      </c>
      <c r="D91" s="3087" t="s">
        <v>2691</v>
      </c>
      <c r="E91" s="3113">
        <v>0.2</v>
      </c>
      <c r="F91" s="3113">
        <v>25</v>
      </c>
    </row>
    <row r="92" spans="1:6" ht="13.5">
      <c r="A92" s="3113">
        <v>20</v>
      </c>
      <c r="B92" s="3800"/>
      <c r="C92" s="3087" t="s">
        <v>2692</v>
      </c>
      <c r="D92" s="3087" t="s">
        <v>2693</v>
      </c>
      <c r="E92" s="3113">
        <v>0.15</v>
      </c>
      <c r="F92" s="3113">
        <v>20</v>
      </c>
    </row>
    <row r="93" spans="1:6" ht="13.5">
      <c r="A93" s="3113">
        <v>21</v>
      </c>
      <c r="B93" s="3800"/>
      <c r="C93" s="3087" t="s">
        <v>2694</v>
      </c>
      <c r="D93" s="3087" t="s">
        <v>2695</v>
      </c>
      <c r="E93" s="3113">
        <v>0.15</v>
      </c>
      <c r="F93" s="3113">
        <v>20</v>
      </c>
    </row>
    <row r="94" spans="1:6" ht="13.5">
      <c r="A94" s="3113">
        <v>22</v>
      </c>
      <c r="B94" s="3800"/>
      <c r="C94" s="3087" t="s">
        <v>2696</v>
      </c>
      <c r="D94" s="3087" t="s">
        <v>2697</v>
      </c>
      <c r="E94" s="3113">
        <v>0.15</v>
      </c>
      <c r="F94" s="3113">
        <v>20</v>
      </c>
    </row>
    <row r="95" spans="1:6" ht="36">
      <c r="A95" s="3113">
        <v>23</v>
      </c>
      <c r="B95" s="3800"/>
      <c r="C95" s="3087" t="s">
        <v>2698</v>
      </c>
      <c r="D95" s="3087" t="s">
        <v>2699</v>
      </c>
      <c r="E95" s="3113">
        <v>0.15</v>
      </c>
      <c r="F95" s="3113">
        <v>20</v>
      </c>
    </row>
    <row r="96" spans="1:6" ht="13.5">
      <c r="A96" s="3113">
        <v>24</v>
      </c>
      <c r="B96" s="3800"/>
      <c r="C96" s="3087" t="s">
        <v>2700</v>
      </c>
      <c r="D96" s="3087" t="s">
        <v>2701</v>
      </c>
      <c r="E96" s="3113">
        <v>0.1</v>
      </c>
      <c r="F96" s="3113">
        <v>15</v>
      </c>
    </row>
    <row r="97" spans="1:6" ht="13.5">
      <c r="A97" s="3113">
        <v>25</v>
      </c>
      <c r="B97" s="3800"/>
      <c r="C97" s="3087" t="s">
        <v>2702</v>
      </c>
      <c r="D97" s="3087" t="s">
        <v>2703</v>
      </c>
      <c r="E97" s="3113">
        <v>0.1</v>
      </c>
      <c r="F97" s="3113">
        <v>15</v>
      </c>
    </row>
    <row r="98" spans="1:6" ht="24">
      <c r="A98" s="3113">
        <v>26</v>
      </c>
      <c r="B98" s="3800"/>
      <c r="C98" s="3087" t="s">
        <v>2704</v>
      </c>
      <c r="D98" s="3087" t="s">
        <v>2705</v>
      </c>
      <c r="E98" s="3113">
        <v>0.1</v>
      </c>
      <c r="F98" s="3113">
        <v>15</v>
      </c>
    </row>
    <row r="99" spans="1:6" ht="24">
      <c r="A99" s="3113">
        <v>27</v>
      </c>
      <c r="B99" s="3800"/>
      <c r="C99" s="3087" t="s">
        <v>2706</v>
      </c>
      <c r="D99" s="3087" t="s">
        <v>2707</v>
      </c>
      <c r="E99" s="3113">
        <v>0.1</v>
      </c>
      <c r="F99" s="3113">
        <v>15</v>
      </c>
    </row>
    <row r="100" spans="1:6" ht="13.5">
      <c r="A100" s="3113">
        <v>28</v>
      </c>
      <c r="B100" s="3800"/>
      <c r="C100" s="3087" t="s">
        <v>2708</v>
      </c>
      <c r="D100" s="3087" t="s">
        <v>2709</v>
      </c>
      <c r="E100" s="3113">
        <v>0.1</v>
      </c>
      <c r="F100" s="3113">
        <v>15</v>
      </c>
    </row>
    <row r="101" spans="1:6" ht="13.5">
      <c r="A101" s="3113">
        <v>29</v>
      </c>
      <c r="B101" s="3800"/>
      <c r="C101" s="3087" t="s">
        <v>2710</v>
      </c>
      <c r="D101" s="3087" t="s">
        <v>2711</v>
      </c>
      <c r="E101" s="3113">
        <v>0.1</v>
      </c>
      <c r="F101" s="3113">
        <v>15</v>
      </c>
    </row>
    <row r="102" spans="1:6" ht="13.5">
      <c r="A102" s="3113">
        <v>30</v>
      </c>
      <c r="B102" s="3800"/>
      <c r="C102" s="3087" t="s">
        <v>2712</v>
      </c>
      <c r="D102" s="3087" t="s">
        <v>2713</v>
      </c>
      <c r="E102" s="3113">
        <v>0.1</v>
      </c>
      <c r="F102" s="3113">
        <v>15</v>
      </c>
    </row>
    <row r="103" spans="1:6" ht="24">
      <c r="A103" s="3113">
        <v>31</v>
      </c>
      <c r="B103" s="3800"/>
      <c r="C103" s="3087" t="s">
        <v>2714</v>
      </c>
      <c r="D103" s="3087" t="s">
        <v>2715</v>
      </c>
      <c r="E103" s="3113">
        <v>0.1</v>
      </c>
      <c r="F103" s="3113">
        <v>15</v>
      </c>
    </row>
    <row r="104" spans="1:6" ht="24">
      <c r="A104" s="3113">
        <v>32</v>
      </c>
      <c r="B104" s="3800"/>
      <c r="C104" s="3087" t="s">
        <v>2716</v>
      </c>
      <c r="D104" s="3087" t="s">
        <v>2717</v>
      </c>
      <c r="E104" s="3113">
        <v>0.1</v>
      </c>
      <c r="F104" s="3113">
        <v>15</v>
      </c>
    </row>
    <row r="105" spans="1:6" ht="24">
      <c r="A105" s="3113">
        <v>33</v>
      </c>
      <c r="B105" s="3800"/>
      <c r="C105" s="3087" t="s">
        <v>2718</v>
      </c>
      <c r="D105" s="3087" t="s">
        <v>2719</v>
      </c>
      <c r="E105" s="3113">
        <v>0.1</v>
      </c>
      <c r="F105" s="3113">
        <v>15</v>
      </c>
    </row>
    <row r="106" spans="1:6" ht="24">
      <c r="A106" s="3113">
        <v>34</v>
      </c>
      <c r="B106" s="3799"/>
      <c r="C106" s="3087" t="s">
        <v>2720</v>
      </c>
      <c r="D106" s="3087" t="s">
        <v>2721</v>
      </c>
      <c r="E106" s="3113">
        <v>0.1</v>
      </c>
      <c r="F106" s="3113">
        <v>15</v>
      </c>
    </row>
    <row r="107" spans="1:6" ht="24">
      <c r="A107" s="3113">
        <v>35</v>
      </c>
      <c r="B107" s="3798" t="s">
        <v>2722</v>
      </c>
      <c r="C107" s="3113" t="s">
        <v>2723</v>
      </c>
      <c r="D107" s="3087" t="s">
        <v>2724</v>
      </c>
      <c r="E107" s="3113">
        <v>0.15</v>
      </c>
      <c r="F107" s="3113">
        <v>20</v>
      </c>
    </row>
    <row r="108" spans="1:6" ht="13.5">
      <c r="A108" s="3113">
        <v>36</v>
      </c>
      <c r="B108" s="3800"/>
      <c r="C108" s="3113" t="s">
        <v>2725</v>
      </c>
      <c r="D108" s="3087" t="s">
        <v>2726</v>
      </c>
      <c r="E108" s="3113">
        <v>0.15</v>
      </c>
      <c r="F108" s="3113">
        <v>20</v>
      </c>
    </row>
    <row r="109" spans="1:6" ht="13.5">
      <c r="A109" s="3113">
        <v>37</v>
      </c>
      <c r="B109" s="3800"/>
      <c r="C109" s="3113" t="s">
        <v>2727</v>
      </c>
      <c r="D109" s="3087" t="s">
        <v>2728</v>
      </c>
      <c r="E109" s="3113">
        <v>0.15</v>
      </c>
      <c r="F109" s="3113">
        <v>20</v>
      </c>
    </row>
    <row r="110" spans="1:6" ht="13.5">
      <c r="A110" s="3113">
        <v>38</v>
      </c>
      <c r="B110" s="3800"/>
      <c r="C110" s="3113" t="s">
        <v>2729</v>
      </c>
      <c r="D110" s="3087" t="s">
        <v>2730</v>
      </c>
      <c r="E110" s="3113">
        <v>0.1</v>
      </c>
      <c r="F110" s="3113">
        <v>15</v>
      </c>
    </row>
    <row r="111" spans="1:6" ht="24">
      <c r="A111" s="3113">
        <v>39</v>
      </c>
      <c r="B111" s="3800"/>
      <c r="C111" s="3113" t="s">
        <v>2731</v>
      </c>
      <c r="D111" s="3087" t="s">
        <v>2732</v>
      </c>
      <c r="E111" s="3113">
        <v>0.1</v>
      </c>
      <c r="F111" s="3113">
        <v>15</v>
      </c>
    </row>
    <row r="112" spans="1:6" ht="24">
      <c r="A112" s="3113">
        <v>40</v>
      </c>
      <c r="B112" s="3799"/>
      <c r="C112" s="3113" t="s">
        <v>2733</v>
      </c>
      <c r="D112" s="3087" t="s">
        <v>2734</v>
      </c>
      <c r="E112" s="3113">
        <v>0.1</v>
      </c>
      <c r="F112" s="3113">
        <v>15</v>
      </c>
    </row>
    <row r="113" spans="1:6" ht="13.5">
      <c r="A113" s="3113">
        <v>41</v>
      </c>
      <c r="B113" s="3797" t="s">
        <v>2735</v>
      </c>
      <c r="C113" s="3113" t="s">
        <v>2736</v>
      </c>
      <c r="D113" s="3087" t="s">
        <v>2737</v>
      </c>
      <c r="E113" s="3113">
        <v>0.1</v>
      </c>
      <c r="F113" s="3113">
        <v>15</v>
      </c>
    </row>
    <row r="114" spans="1:6" ht="13.5">
      <c r="A114" s="3113">
        <v>42</v>
      </c>
      <c r="B114" s="3797"/>
      <c r="C114" s="3113" t="s">
        <v>2738</v>
      </c>
      <c r="D114" s="3087" t="s">
        <v>2739</v>
      </c>
      <c r="E114" s="3113">
        <v>0.1</v>
      </c>
      <c r="F114" s="3113">
        <v>15</v>
      </c>
    </row>
    <row r="115" spans="1:6" ht="24">
      <c r="A115" s="3113">
        <v>43</v>
      </c>
      <c r="B115" s="3797"/>
      <c r="C115" s="3113" t="s">
        <v>2740</v>
      </c>
      <c r="D115" s="3087" t="s">
        <v>2741</v>
      </c>
      <c r="E115" s="3113">
        <v>0.1</v>
      </c>
      <c r="F115" s="3113">
        <v>15</v>
      </c>
    </row>
    <row r="116" spans="1:6" ht="13.5">
      <c r="A116" s="3113">
        <v>44</v>
      </c>
      <c r="B116" s="3798" t="s">
        <v>2742</v>
      </c>
      <c r="C116" s="3113" t="s">
        <v>2743</v>
      </c>
      <c r="D116" s="3087" t="s">
        <v>2744</v>
      </c>
      <c r="E116" s="3113">
        <v>0.1</v>
      </c>
      <c r="F116" s="3113">
        <v>15</v>
      </c>
    </row>
    <row r="117" spans="1:6" ht="24">
      <c r="A117" s="3113">
        <v>45</v>
      </c>
      <c r="B117" s="3799"/>
      <c r="C117" s="3087" t="s">
        <v>2745</v>
      </c>
      <c r="D117" s="3087" t="s">
        <v>2746</v>
      </c>
      <c r="E117" s="3113">
        <v>0.1</v>
      </c>
      <c r="F117" s="3113">
        <v>15</v>
      </c>
    </row>
    <row r="118" spans="1:6" ht="24">
      <c r="A118" s="3113">
        <v>46</v>
      </c>
      <c r="B118" s="3798" t="s">
        <v>2747</v>
      </c>
      <c r="C118" s="3113" t="s">
        <v>2748</v>
      </c>
      <c r="D118" s="3087" t="s">
        <v>2749</v>
      </c>
      <c r="E118" s="3113">
        <v>0.1</v>
      </c>
      <c r="F118" s="3113">
        <v>15</v>
      </c>
    </row>
    <row r="119" spans="1:6" ht="24">
      <c r="A119" s="3113">
        <v>47</v>
      </c>
      <c r="B119" s="3799"/>
      <c r="C119" s="3113" t="s">
        <v>2750</v>
      </c>
      <c r="D119" s="3087" t="s">
        <v>2751</v>
      </c>
      <c r="E119" s="3113">
        <v>0.1</v>
      </c>
      <c r="F119" s="3113">
        <v>15</v>
      </c>
    </row>
    <row r="120" spans="1:6" ht="13.5">
      <c r="A120" s="3113">
        <v>48</v>
      </c>
      <c r="B120" s="3798" t="s">
        <v>2752</v>
      </c>
      <c r="C120" s="3113" t="s">
        <v>2753</v>
      </c>
      <c r="D120" s="3087" t="s">
        <v>2754</v>
      </c>
      <c r="E120" s="3113">
        <v>0.1</v>
      </c>
      <c r="F120" s="3113">
        <v>15</v>
      </c>
    </row>
    <row r="121" spans="1:6" ht="13.5">
      <c r="A121" s="3113">
        <v>49</v>
      </c>
      <c r="B121" s="3799"/>
      <c r="C121" s="3113" t="s">
        <v>2755</v>
      </c>
      <c r="D121" s="3087" t="s">
        <v>2756</v>
      </c>
      <c r="E121" s="3113">
        <v>0.1</v>
      </c>
      <c r="F121" s="3113">
        <v>15</v>
      </c>
    </row>
    <row r="122" spans="1:6" ht="24">
      <c r="A122" s="3113">
        <v>50</v>
      </c>
      <c r="B122" s="3797" t="s">
        <v>2757</v>
      </c>
      <c r="C122" s="3113" t="s">
        <v>2758</v>
      </c>
      <c r="D122" s="3087" t="s">
        <v>2759</v>
      </c>
      <c r="E122" s="3113">
        <v>0.1</v>
      </c>
      <c r="F122" s="3113">
        <v>15</v>
      </c>
    </row>
    <row r="123" spans="1:6" ht="24">
      <c r="A123" s="3113">
        <v>51</v>
      </c>
      <c r="B123" s="3797"/>
      <c r="C123" s="3113" t="s">
        <v>2760</v>
      </c>
      <c r="D123" s="3087" t="s">
        <v>2761</v>
      </c>
      <c r="E123" s="3113">
        <v>0.1</v>
      </c>
      <c r="F123" s="3113">
        <v>15</v>
      </c>
    </row>
    <row r="124" spans="1:6" ht="24">
      <c r="A124" s="3113">
        <v>52</v>
      </c>
      <c r="B124" s="3797" t="s">
        <v>2762</v>
      </c>
      <c r="C124" s="3113" t="s">
        <v>2763</v>
      </c>
      <c r="D124" s="3087" t="s">
        <v>2764</v>
      </c>
      <c r="E124" s="3113">
        <v>0.1</v>
      </c>
      <c r="F124" s="3113">
        <v>15</v>
      </c>
    </row>
    <row r="125" spans="1:6" ht="24">
      <c r="A125" s="3113">
        <v>53</v>
      </c>
      <c r="B125" s="3797"/>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97" t="s">
        <v>2770</v>
      </c>
      <c r="C127" s="3113" t="s">
        <v>2771</v>
      </c>
      <c r="D127" s="3087" t="s">
        <v>2772</v>
      </c>
      <c r="E127" s="3113">
        <v>0.1</v>
      </c>
      <c r="F127" s="3113">
        <v>15</v>
      </c>
    </row>
    <row r="128" spans="1:6" ht="13.5">
      <c r="A128" s="3113">
        <v>56</v>
      </c>
      <c r="B128" s="3797"/>
      <c r="C128" s="3113" t="s">
        <v>2773</v>
      </c>
      <c r="D128" s="3087" t="s">
        <v>2774</v>
      </c>
      <c r="E128" s="3113">
        <v>0.1</v>
      </c>
      <c r="F128" s="3113">
        <v>15</v>
      </c>
    </row>
    <row r="129" spans="1:6" ht="24">
      <c r="A129" s="3113">
        <v>57</v>
      </c>
      <c r="B129" s="3797"/>
      <c r="C129" s="3113" t="s">
        <v>2775</v>
      </c>
      <c r="D129" s="3087" t="s">
        <v>2776</v>
      </c>
      <c r="E129" s="3113">
        <v>0.1</v>
      </c>
      <c r="F129" s="3113">
        <v>15</v>
      </c>
    </row>
    <row r="130" spans="1:6" ht="24">
      <c r="A130" s="3113">
        <v>58</v>
      </c>
      <c r="B130" s="3797" t="s">
        <v>2777</v>
      </c>
      <c r="C130" s="3113" t="s">
        <v>2778</v>
      </c>
      <c r="D130" s="3087" t="s">
        <v>2779</v>
      </c>
      <c r="E130" s="3113">
        <v>0.1</v>
      </c>
      <c r="F130" s="3113">
        <v>15</v>
      </c>
    </row>
    <row r="131" spans="1:6" ht="13.5">
      <c r="A131" s="3113">
        <v>59</v>
      </c>
      <c r="B131" s="3797"/>
      <c r="C131" s="3113" t="s">
        <v>2780</v>
      </c>
      <c r="D131" s="3087" t="s">
        <v>2781</v>
      </c>
      <c r="E131" s="3113">
        <v>0.1</v>
      </c>
      <c r="F131" s="3113">
        <v>15</v>
      </c>
    </row>
    <row r="132" spans="1:6" ht="13.5">
      <c r="A132" s="3113">
        <v>60</v>
      </c>
      <c r="B132" s="3798" t="s">
        <v>2782</v>
      </c>
      <c r="C132" s="3113" t="s">
        <v>2783</v>
      </c>
      <c r="D132" s="3087" t="s">
        <v>2784</v>
      </c>
      <c r="E132" s="3113">
        <v>0.1</v>
      </c>
      <c r="F132" s="3113">
        <v>15</v>
      </c>
    </row>
    <row r="133" spans="1:6" ht="13.5">
      <c r="A133" s="3113">
        <v>61</v>
      </c>
      <c r="B133" s="3799"/>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97" t="s">
        <v>2790</v>
      </c>
      <c r="C135" s="3113" t="s">
        <v>2791</v>
      </c>
      <c r="D135" s="3087" t="s">
        <v>2792</v>
      </c>
      <c r="E135" s="3113">
        <v>0.1</v>
      </c>
      <c r="F135" s="3113">
        <v>15</v>
      </c>
    </row>
    <row r="136" spans="1:6" ht="13.5">
      <c r="A136" s="3113">
        <v>64</v>
      </c>
      <c r="B136" s="3797"/>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88"/>
      <c r="B4" s="3492" t="s">
        <v>917</v>
      </c>
      <c r="C4" s="3492"/>
      <c r="D4" s="3492"/>
      <c r="E4" s="1488"/>
    </row>
    <row r="5" spans="1:5" ht="16.5" thickTop="1">
      <c r="A5" s="1486"/>
      <c r="B5" s="3490" t="s">
        <v>909</v>
      </c>
      <c r="C5" s="1489" t="s">
        <v>910</v>
      </c>
      <c r="D5" s="848">
        <f ca="1">结果表!H101</f>
        <v>64238</v>
      </c>
      <c r="E5" s="1486"/>
    </row>
    <row r="6" spans="1:5" ht="15.75">
      <c r="A6" s="1486"/>
      <c r="B6" s="3490"/>
      <c r="C6" s="1489" t="s">
        <v>911</v>
      </c>
      <c r="D6" s="848" t="str">
        <f ca="1">NUMBERSTRING(INT(D5*10000),2)&amp;"元整"</f>
        <v>陆亿肆仟贰佰叁拾捌万元整</v>
      </c>
      <c r="E6" s="1486"/>
    </row>
    <row r="7" spans="1:5" ht="15.75">
      <c r="A7" s="1486"/>
      <c r="B7" s="3495"/>
      <c r="C7" s="1490" t="s">
        <v>912</v>
      </c>
      <c r="D7" s="849">
        <f ca="1">结果表!H102</f>
        <v>16178</v>
      </c>
      <c r="E7" s="1486"/>
    </row>
    <row r="8" spans="1:5" ht="15.75">
      <c r="A8" s="1486"/>
      <c r="B8" s="3496" t="str">
        <f>结果表!E103</f>
        <v>2.估价师知悉的法定优先受偿款</v>
      </c>
      <c r="C8" s="1491" t="s">
        <v>913</v>
      </c>
      <c r="D8" s="849">
        <f>结果表!H103</f>
        <v>0</v>
      </c>
      <c r="E8" s="1486"/>
    </row>
    <row r="9" spans="1:5" ht="15.75">
      <c r="A9" s="1486"/>
      <c r="B9" s="3498"/>
      <c r="C9" s="1489" t="s">
        <v>911</v>
      </c>
      <c r="D9" s="848" t="str">
        <f>NUMBERSTRING(INT(D8*10000),2)&amp;"元整"</f>
        <v>零元整</v>
      </c>
      <c r="E9" s="1486"/>
    </row>
    <row r="10" spans="1:5" ht="15">
      <c r="A10" s="1486"/>
      <c r="B10" s="1492" t="s">
        <v>916</v>
      </c>
      <c r="C10" s="1493" t="s">
        <v>914</v>
      </c>
      <c r="D10" s="850">
        <f>结果表!H104</f>
        <v>0</v>
      </c>
      <c r="E10" s="1486"/>
    </row>
    <row r="11" spans="1:5" ht="15">
      <c r="A11" s="1486"/>
      <c r="B11" s="1492" t="s">
        <v>918</v>
      </c>
      <c r="C11" s="1493" t="s">
        <v>919</v>
      </c>
      <c r="D11" s="850">
        <f>结果表!H105</f>
        <v>0</v>
      </c>
      <c r="E11" s="1486"/>
    </row>
    <row r="12" spans="1:5" ht="15">
      <c r="A12" s="1486"/>
      <c r="B12" s="1492" t="s">
        <v>920</v>
      </c>
      <c r="C12" s="1493" t="s">
        <v>919</v>
      </c>
      <c r="D12" s="850">
        <f>结果表!H106</f>
        <v>0</v>
      </c>
      <c r="E12" s="1486"/>
    </row>
    <row r="13" spans="1:5" ht="15.75">
      <c r="A13" s="1486"/>
      <c r="B13" s="3489" t="str">
        <f>结果表!E107</f>
        <v>3.房地产抵押价值</v>
      </c>
      <c r="C13" s="1494" t="s">
        <v>910</v>
      </c>
      <c r="D13" s="851">
        <f ca="1">结果表!H107</f>
        <v>64238</v>
      </c>
      <c r="E13" s="1486"/>
    </row>
    <row r="14" spans="1:5" ht="15.75">
      <c r="A14" s="1486"/>
      <c r="B14" s="3490"/>
      <c r="C14" s="1489" t="s">
        <v>911</v>
      </c>
      <c r="D14" s="848" t="str">
        <f ca="1">NUMBERSTRING(INT(D13*10000),2)&amp;"元整"</f>
        <v>陆亿肆仟贰佰叁拾捌万元整</v>
      </c>
      <c r="E14" s="1486"/>
    </row>
    <row r="15" spans="1:5" ht="15">
      <c r="A15" s="1486"/>
      <c r="B15" s="3495"/>
      <c r="C15" s="1490" t="s">
        <v>921</v>
      </c>
      <c r="D15" s="857">
        <f ca="1">结果表!H108</f>
        <v>16178</v>
      </c>
      <c r="E15" s="1486"/>
    </row>
    <row r="16" spans="1:5" ht="15">
      <c r="A16" s="1486"/>
      <c r="B16" s="3496" t="str">
        <f>结果表!E109</f>
        <v>——</v>
      </c>
      <c r="C16" s="1494" t="s">
        <v>922</v>
      </c>
      <c r="D16" s="1495" t="str">
        <f>结果表!H109</f>
        <v>——</v>
      </c>
      <c r="E16" s="1486"/>
    </row>
    <row r="17" spans="1:5" ht="15.75">
      <c r="A17" s="1486"/>
      <c r="B17" s="3497"/>
      <c r="C17" s="1489" t="s">
        <v>923</v>
      </c>
      <c r="D17" s="848" t="e">
        <f>NUMBERSTRING(INT(D16*10000),2)&amp;"元整"</f>
        <v>#VALUE!</v>
      </c>
      <c r="E17" s="1486"/>
    </row>
    <row r="18" spans="1:5" ht="15">
      <c r="A18" s="1486"/>
      <c r="B18" s="3498"/>
      <c r="C18" s="1490" t="s">
        <v>912</v>
      </c>
      <c r="D18" s="857" t="str">
        <f>结果表!H110</f>
        <v>——</v>
      </c>
      <c r="E18" s="1486"/>
    </row>
    <row r="19" spans="1:5" ht="15.75">
      <c r="A19" s="1486"/>
      <c r="B19" s="3489" t="str">
        <f>结果表!E111</f>
        <v>——</v>
      </c>
      <c r="C19" s="1494" t="s">
        <v>910</v>
      </c>
      <c r="D19" s="849" t="str">
        <f>结果表!H111</f>
        <v>——</v>
      </c>
      <c r="E19" s="1486"/>
    </row>
    <row r="20" spans="1:5" ht="15.75">
      <c r="A20" s="1486"/>
      <c r="B20" s="3490"/>
      <c r="C20" s="1489" t="s">
        <v>923</v>
      </c>
      <c r="D20" s="848" t="e">
        <f>NUMBERSTRING(INT(D19*10000),2)&amp;"元整"</f>
        <v>#VALUE!</v>
      </c>
      <c r="E20" s="1486"/>
    </row>
    <row r="21" spans="1:5" ht="15.75" thickBot="1">
      <c r="A21" s="1486"/>
      <c r="B21" s="3491"/>
      <c r="C21" s="1496" t="s">
        <v>921</v>
      </c>
      <c r="D21" s="858"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6"/>
    <col min="14" max="16384" width="9" style="748"/>
  </cols>
  <sheetData>
    <row r="1" spans="1:20" ht="15" thickBot="1">
      <c r="A1" s="3122" t="s">
        <v>2799</v>
      </c>
      <c r="B1" s="3122"/>
      <c r="C1" s="3122"/>
      <c r="D1" s="3122"/>
      <c r="E1" s="3122"/>
      <c r="F1" s="3122"/>
      <c r="G1" s="3122"/>
      <c r="H1" s="3122"/>
      <c r="I1" s="3122"/>
      <c r="J1" s="3122"/>
      <c r="K1" s="3122"/>
      <c r="L1" s="3122"/>
      <c r="M1" s="3122"/>
      <c r="N1" s="747"/>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48">
        <f>SUMPRODUCT((A95:A184=ROUNDDOWN(基准地价修正!G3,1))*(B94:M94=基准地价修正!G2)*(B95:M184))</f>
        <v>0.8901</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48">
        <f>SUMPRODUCT((A371:A460=ROUNDDOWN(基准地价修正!G3,1))*(B370:M370=基准地价修正!G2)*(B371:M460))</f>
        <v>0.84670000000000001</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54449</v>
      </c>
      <c r="C2" s="2" t="s">
        <v>106</v>
      </c>
      <c r="D2" s="198"/>
      <c r="E2" s="198"/>
      <c r="F2" s="198"/>
      <c r="G2" s="198"/>
    </row>
    <row r="3" spans="1:7" s="199" customFormat="1" ht="18" customHeight="1" thickBot="1">
      <c r="A3" s="202" t="s">
        <v>58</v>
      </c>
      <c r="B3" s="203">
        <f ca="1">ROUND(B2*10000/'数据-汇总表'!E3,0)</f>
        <v>13712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794</v>
      </c>
      <c r="D10" s="843">
        <f>'数据-汇总表'!E6</f>
        <v>39707.960000000006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794</v>
      </c>
      <c r="D19" s="847">
        <f>'数据-汇总表'!E3</f>
        <v>39707.960000000006</v>
      </c>
      <c r="E19" s="210">
        <f>'数据-取费表'!B31</f>
        <v>200</v>
      </c>
      <c r="F19" s="230"/>
      <c r="G19" s="1" t="s">
        <v>436</v>
      </c>
    </row>
    <row r="20" spans="1:7" s="213" customFormat="1" ht="13.5" customHeight="1">
      <c r="A20" s="775" t="s">
        <v>419</v>
      </c>
      <c r="B20" s="209" t="s">
        <v>77</v>
      </c>
      <c r="C20" s="231">
        <f>ROUND((C5+C19)*F20,0)</f>
        <v>428</v>
      </c>
      <c r="D20" s="231"/>
      <c r="E20" s="231"/>
      <c r="F20" s="232">
        <f>'数据-取费表'!B37</f>
        <v>0.02</v>
      </c>
      <c r="G20" s="1063"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0">
        <f ca="1">ROUND(SUM(C23:C25),0)</f>
        <v>1518</v>
      </c>
      <c r="D22" s="234">
        <f ca="1">C26</f>
        <v>6.9999999999999999E-4</v>
      </c>
      <c r="E22" s="235" t="s">
        <v>99</v>
      </c>
      <c r="F22" s="236">
        <f ca="1">'数据-取费表'!B40</f>
        <v>3.4500000000000003E-2</v>
      </c>
      <c r="G22" s="1063" t="str">
        <f>IF('数据-取费表'!B22&lt;=1,"单利计息","复利计息")</f>
        <v>复利计息</v>
      </c>
    </row>
    <row r="23" spans="1:7" s="213" customFormat="1" ht="13.5" customHeight="1">
      <c r="A23" s="778" t="s">
        <v>349</v>
      </c>
      <c r="B23" s="214" t="s">
        <v>423</v>
      </c>
      <c r="C23" s="1101">
        <f ca="1">ROUND(IF('数据-取费表'!B22&lt;=1,C5*F22*'数据-取费表'!B23,C5*(POWER((1+F22),'数据-取费表'!B23)-1)),0)</f>
        <v>1447</v>
      </c>
      <c r="D23" s="237"/>
      <c r="E23" s="237"/>
      <c r="F23" s="238"/>
      <c r="G23" s="239" t="s">
        <v>81</v>
      </c>
    </row>
    <row r="24" spans="1:7" s="213" customFormat="1" ht="13.5" customHeight="1">
      <c r="A24" s="778" t="s">
        <v>347</v>
      </c>
      <c r="B24" s="214" t="s">
        <v>418</v>
      </c>
      <c r="C24" s="1101">
        <f ca="1">ROUND(IF('数据-取费表'!B22&lt;=1,C19*F22*('数据-取费表'!B19/2+'数据-取费表'!B21),C19*(POWER((1+F22),('数据-取费表'!B19/2+'数据-取费表'!B21))-1)),0)</f>
        <v>56</v>
      </c>
      <c r="D24" s="237"/>
      <c r="E24" s="237"/>
      <c r="F24" s="238"/>
      <c r="G24" s="239" t="s">
        <v>82</v>
      </c>
    </row>
    <row r="25" spans="1:7" s="213" customFormat="1" ht="24">
      <c r="A25" s="778" t="s">
        <v>348</v>
      </c>
      <c r="B25" s="214" t="s">
        <v>420</v>
      </c>
      <c r="C25" s="1101">
        <f ca="1">ROUND(IF('数据-取费表'!B22&lt;=1,C20*F22*'数据-取费表'!B23/2,C20*(POWER((1+F22),'数据-取费表'!B23/2)-1)),0)</f>
        <v>15</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2838</v>
      </c>
      <c r="D27" s="234">
        <f>C29</f>
        <v>2.5999999999999999E-3</v>
      </c>
      <c r="E27" s="235" t="s">
        <v>99</v>
      </c>
      <c r="F27" s="245">
        <f>'数据-取费表'!Q16</f>
        <v>0.13</v>
      </c>
      <c r="G27" s="246" t="s">
        <v>431</v>
      </c>
    </row>
    <row r="28" spans="1:7" s="213" customFormat="1" ht="13.5" customHeight="1">
      <c r="A28" s="778" t="s">
        <v>349</v>
      </c>
      <c r="B28" s="247" t="s">
        <v>424</v>
      </c>
      <c r="C28" s="248">
        <f>ROUND((C5+C19+C20)*F27*'数据-取费表'!B21/'数据-取费表'!B20,0)</f>
        <v>2838</v>
      </c>
      <c r="D28" s="234"/>
      <c r="E28" s="235"/>
      <c r="F28" s="245"/>
      <c r="G28" s="246"/>
    </row>
    <row r="29" spans="1:7" s="213" customFormat="1" ht="13.5" customHeight="1">
      <c r="A29" s="778" t="s">
        <v>347</v>
      </c>
      <c r="B29" s="247" t="s">
        <v>425</v>
      </c>
      <c r="C29" s="237">
        <f>ROUND(C21*F27*'数据-取费表'!B21/'数据-取费表'!B20,4)</f>
        <v>2.5999999999999999E-3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28361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23046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20992</v>
      </c>
      <c r="D34" s="216"/>
      <c r="E34" s="219"/>
      <c r="F34" s="256">
        <f>IF('数据-取费表'!B24=0,1,'数据-取费表'!N16)</f>
        <v>1</v>
      </c>
      <c r="G34" s="218" t="s">
        <v>89</v>
      </c>
    </row>
    <row r="35" spans="1:7" ht="13.5" customHeight="1">
      <c r="A35" s="778" t="s">
        <v>351</v>
      </c>
      <c r="B35" s="214" t="s">
        <v>33</v>
      </c>
      <c r="C35" s="219">
        <f>ROUND(C34*F35,0)</f>
        <v>840</v>
      </c>
      <c r="D35" s="219"/>
      <c r="E35" s="219"/>
      <c r="F35" s="258">
        <f>'数据-取费表'!B33</f>
        <v>0.04</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794</v>
      </c>
      <c r="D37" s="216">
        <f>'数据-汇总表'!E3</f>
        <v>39707.960000000006</v>
      </c>
      <c r="E37" s="248">
        <f>'数据-取费表'!B35</f>
        <v>200</v>
      </c>
      <c r="F37" s="258"/>
      <c r="G37" s="260" t="s">
        <v>92</v>
      </c>
    </row>
    <row r="38" spans="1:7" ht="13.5" customHeight="1">
      <c r="A38" s="778" t="s">
        <v>354</v>
      </c>
      <c r="B38" s="214" t="s">
        <v>36</v>
      </c>
      <c r="C38" s="219">
        <f>ROUND(C34*F38,0)</f>
        <v>420</v>
      </c>
      <c r="D38" s="219"/>
      <c r="E38" s="219"/>
      <c r="F38" s="258">
        <f>'数据-取费表'!B36</f>
        <v>0.02</v>
      </c>
      <c r="G38" s="218" t="s">
        <v>90</v>
      </c>
    </row>
    <row r="39" spans="1:7" s="213" customFormat="1" ht="13.5" customHeight="1">
      <c r="A39" s="775" t="s">
        <v>338</v>
      </c>
      <c r="B39" s="209" t="s">
        <v>77</v>
      </c>
      <c r="C39" s="231">
        <f>ROUND(C33*F20,0)</f>
        <v>461</v>
      </c>
      <c r="D39" s="231"/>
      <c r="E39" s="231"/>
      <c r="F39" s="232"/>
      <c r="G39" s="1063"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811</v>
      </c>
      <c r="D41" s="234">
        <f ca="1">C44</f>
        <v>6.9999999999999999E-4</v>
      </c>
      <c r="E41" s="235" t="s">
        <v>102</v>
      </c>
      <c r="F41" s="236"/>
      <c r="G41" s="1063" t="str">
        <f>IF('数据-取费表'!B22&lt;=1,"单利计息","复利计息")</f>
        <v>复利计息</v>
      </c>
    </row>
    <row r="42" spans="1:7" ht="13.5" customHeight="1">
      <c r="A42" s="778" t="s">
        <v>349</v>
      </c>
      <c r="B42" s="214" t="s">
        <v>423</v>
      </c>
      <c r="C42" s="237">
        <f ca="1">ROUND(IF('数据-取费表'!B22&lt;=1,C33*F22*'数据-取费表'!B21/2,C33*(POWER((1+F22),'数据-取费表'!B21/2)-1)),0)</f>
        <v>795</v>
      </c>
      <c r="D42" s="237"/>
      <c r="E42" s="237"/>
      <c r="F42" s="238"/>
      <c r="G42" s="3673" t="s">
        <v>94</v>
      </c>
    </row>
    <row r="43" spans="1:7" ht="13.5" customHeight="1">
      <c r="A43" s="778" t="s">
        <v>347</v>
      </c>
      <c r="B43" s="214" t="s">
        <v>426</v>
      </c>
      <c r="C43" s="237">
        <f ca="1">ROUND(IF('数据-取费表'!B22&lt;=1,C39*F22*'数据-取费表'!B21/2,C39*(POWER((1+F22),'数据-取费表'!B21/2)-1)),0)</f>
        <v>16</v>
      </c>
      <c r="D43" s="237"/>
      <c r="E43" s="237"/>
      <c r="F43" s="238"/>
      <c r="G43" s="3674"/>
    </row>
    <row r="44" spans="1:7" ht="13.5" customHeight="1">
      <c r="A44" s="778" t="s">
        <v>348</v>
      </c>
      <c r="B44" s="214" t="s">
        <v>428</v>
      </c>
      <c r="C44" s="237">
        <f ca="1">ROUND(IF('数据-取费表'!B22&lt;=1,C40*F22*'数据-取费表'!B21/2,C40*(POWER((1+F22),'数据-取费表'!B21/2)-1)),4)</f>
        <v>6.9999999999999999E-4</v>
      </c>
      <c r="D44" s="237"/>
      <c r="E44" s="237"/>
      <c r="F44" s="238"/>
      <c r="G44" s="3675"/>
    </row>
    <row r="45" spans="1:7" s="213" customFormat="1" ht="13.5" customHeight="1">
      <c r="A45" s="775" t="s">
        <v>341</v>
      </c>
      <c r="B45" s="243" t="s">
        <v>85</v>
      </c>
      <c r="C45" s="244">
        <f>C46</f>
        <v>3056</v>
      </c>
      <c r="D45" s="234">
        <f>C47</f>
        <v>2.5999999999999999E-3</v>
      </c>
      <c r="E45" s="235" t="s">
        <v>102</v>
      </c>
      <c r="F45" s="245"/>
      <c r="G45" s="246" t="s">
        <v>434</v>
      </c>
    </row>
    <row r="46" spans="1:7" s="213" customFormat="1" ht="13.5" customHeight="1">
      <c r="A46" s="778" t="s">
        <v>349</v>
      </c>
      <c r="B46" s="247" t="s">
        <v>427</v>
      </c>
      <c r="C46" s="248">
        <f>ROUND((C33+C39)*F27,0)</f>
        <v>3056</v>
      </c>
      <c r="D46" s="262"/>
      <c r="E46" s="235"/>
      <c r="F46" s="245"/>
      <c r="G46" s="246"/>
    </row>
    <row r="47" spans="1:7" s="213" customFormat="1" ht="13.5" customHeight="1">
      <c r="A47" s="778" t="s">
        <v>347</v>
      </c>
      <c r="B47" s="247" t="s">
        <v>429</v>
      </c>
      <c r="C47" s="237">
        <f>ROUND(C40*F27,4)</f>
        <v>2.5999999999999999E-3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29646</v>
      </c>
      <c r="D49" s="231"/>
      <c r="E49" s="231"/>
      <c r="F49" s="263"/>
      <c r="G49" s="233" t="s">
        <v>435</v>
      </c>
    </row>
    <row r="50" spans="1:7" s="257" customFormat="1" ht="24">
      <c r="A50" s="775" t="s">
        <v>344</v>
      </c>
      <c r="B50" s="209" t="s">
        <v>97</v>
      </c>
      <c r="C50" s="231"/>
      <c r="D50" s="231"/>
      <c r="E50" s="231"/>
      <c r="F50" s="263">
        <f>IF('数据-取费表'!B24=0,'数据-取费表'!N16,1)</f>
        <v>0.88</v>
      </c>
      <c r="G50" s="246" t="s">
        <v>98</v>
      </c>
    </row>
    <row r="51" spans="1:7" ht="16.5" customHeight="1">
      <c r="A51" s="775" t="s">
        <v>345</v>
      </c>
      <c r="B51" s="209" t="s">
        <v>105</v>
      </c>
      <c r="C51" s="231">
        <f ca="1">ROUND(C49*F50,0)</f>
        <v>26088</v>
      </c>
      <c r="D51" s="231"/>
      <c r="E51" s="231"/>
      <c r="F51" s="263"/>
      <c r="G51" s="233" t="s">
        <v>37</v>
      </c>
    </row>
    <row r="52" spans="1:7" s="207" customFormat="1" ht="16.5" thickBot="1">
      <c r="A52" s="264" t="s">
        <v>38</v>
      </c>
      <c r="B52" s="265"/>
      <c r="C52" s="266">
        <f ca="1">C31+C51</f>
        <v>54449</v>
      </c>
      <c r="D52" s="265"/>
      <c r="E52" s="265"/>
      <c r="F52" s="265"/>
      <c r="G52" s="267"/>
    </row>
    <row r="55" spans="1:7" ht="15">
      <c r="B55" s="269" t="s">
        <v>39</v>
      </c>
      <c r="C55" s="270"/>
    </row>
    <row r="56" spans="1:7">
      <c r="B56" s="272" t="s">
        <v>40</v>
      </c>
      <c r="C56" s="273">
        <f ca="1">ROUND(C51/C52,3)</f>
        <v>0.47899999999999998</v>
      </c>
    </row>
    <row r="57" spans="1:7">
      <c r="B57" s="272" t="s">
        <v>41</v>
      </c>
      <c r="C57" s="274">
        <f ca="1">1-C56</f>
        <v>0.52100000000000002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31"/>
  <sheetViews>
    <sheetView topLeftCell="B1" zoomScaleNormal="100" workbookViewId="0">
      <selection activeCell="F36" sqref="F36"/>
    </sheetView>
  </sheetViews>
  <sheetFormatPr defaultRowHeight="13.5"/>
  <cols>
    <col min="1" max="1" width="37.125" customWidth="1"/>
    <col min="8" max="8" width="4.25" customWidth="1"/>
    <col min="9" max="9" width="18.25" customWidth="1"/>
    <col min="11" max="12" width="11.625" style="3463" bestFit="1" customWidth="1"/>
  </cols>
  <sheetData>
    <row r="1" spans="1:23">
      <c r="A1" t="s">
        <v>3436</v>
      </c>
      <c r="B1" t="s">
        <v>3437</v>
      </c>
      <c r="C1" t="s">
        <v>3438</v>
      </c>
      <c r="D1" t="s">
        <v>3439</v>
      </c>
      <c r="E1" t="s">
        <v>3440</v>
      </c>
      <c r="F1" t="s">
        <v>3441</v>
      </c>
      <c r="G1" t="s">
        <v>3442</v>
      </c>
      <c r="H1" t="s">
        <v>3443</v>
      </c>
      <c r="I1" t="s">
        <v>3444</v>
      </c>
      <c r="J1" t="s">
        <v>3445</v>
      </c>
      <c r="K1" s="3463" t="s">
        <v>3446</v>
      </c>
      <c r="L1" s="3463" t="s">
        <v>3447</v>
      </c>
      <c r="M1" t="s">
        <v>3448</v>
      </c>
      <c r="N1" t="s">
        <v>3449</v>
      </c>
      <c r="O1" t="s">
        <v>3450</v>
      </c>
      <c r="P1" t="s">
        <v>3451</v>
      </c>
      <c r="Q1" t="s">
        <v>3452</v>
      </c>
      <c r="R1" t="s">
        <v>3453</v>
      </c>
      <c r="S1" t="s">
        <v>3454</v>
      </c>
      <c r="T1" t="s">
        <v>3455</v>
      </c>
      <c r="U1" t="s">
        <v>3456</v>
      </c>
      <c r="V1" t="s">
        <v>3457</v>
      </c>
      <c r="W1" t="s">
        <v>3458</v>
      </c>
    </row>
    <row r="2" spans="1:23" s="3480" customFormat="1">
      <c r="A2" s="3480" t="s">
        <v>3459</v>
      </c>
      <c r="B2" s="3480" t="s">
        <v>3460</v>
      </c>
      <c r="C2" s="3480" t="s">
        <v>3461</v>
      </c>
      <c r="D2" s="3480" t="s">
        <v>3462</v>
      </c>
      <c r="E2" s="3480">
        <v>64012.4</v>
      </c>
      <c r="F2" s="3480">
        <v>192037.19</v>
      </c>
      <c r="G2" s="3480">
        <v>3</v>
      </c>
      <c r="H2" s="3480" t="s">
        <v>3463</v>
      </c>
      <c r="I2" s="3482" t="s">
        <v>3617</v>
      </c>
      <c r="J2" s="3480" t="s">
        <v>3465</v>
      </c>
      <c r="K2" s="3481">
        <v>44931.000497685185</v>
      </c>
      <c r="L2" s="3481">
        <v>44931.000497685185</v>
      </c>
      <c r="M2" s="3480" t="s">
        <v>3466</v>
      </c>
      <c r="N2" s="3480" t="s">
        <v>3467</v>
      </c>
      <c r="O2" s="3480">
        <v>177000</v>
      </c>
      <c r="P2" s="3480">
        <v>36000</v>
      </c>
      <c r="Q2" s="3480" t="s">
        <v>3468</v>
      </c>
      <c r="R2" s="3480">
        <v>177000</v>
      </c>
      <c r="S2" s="3480">
        <v>27650.89</v>
      </c>
      <c r="T2" s="3480">
        <v>1843.39</v>
      </c>
      <c r="U2" s="3480">
        <v>9217</v>
      </c>
      <c r="V2" s="3480">
        <v>0</v>
      </c>
      <c r="W2" s="3480" t="s">
        <v>3469</v>
      </c>
    </row>
    <row r="3" spans="1:23" s="3480" customFormat="1">
      <c r="A3" s="3480" t="s">
        <v>3470</v>
      </c>
      <c r="B3" s="3480" t="s">
        <v>3460</v>
      </c>
      <c r="C3" s="3480" t="s">
        <v>3471</v>
      </c>
      <c r="D3" s="3480" t="s">
        <v>3462</v>
      </c>
      <c r="E3" s="3480">
        <v>12136.3</v>
      </c>
      <c r="F3" s="3480">
        <v>42477</v>
      </c>
      <c r="G3" s="3480">
        <v>3.5</v>
      </c>
      <c r="H3" s="3480" t="s">
        <v>3463</v>
      </c>
      <c r="I3" s="3482" t="s">
        <v>3618</v>
      </c>
      <c r="J3" s="3480" t="s">
        <v>3465</v>
      </c>
      <c r="K3" s="3481">
        <v>44495.000497685185</v>
      </c>
      <c r="L3" s="3481">
        <v>44495.000497685185</v>
      </c>
      <c r="M3" s="3480" t="s">
        <v>3466</v>
      </c>
      <c r="N3" s="3480" t="s">
        <v>3473</v>
      </c>
      <c r="O3" s="3480">
        <v>71000</v>
      </c>
      <c r="P3" s="3480">
        <v>14200</v>
      </c>
      <c r="Q3" s="3480" t="s">
        <v>3474</v>
      </c>
      <c r="R3" s="3480">
        <v>71000</v>
      </c>
      <c r="S3" s="3480">
        <v>58502.18</v>
      </c>
      <c r="T3" s="3480">
        <v>3900.15</v>
      </c>
      <c r="U3" s="3480">
        <v>16715</v>
      </c>
      <c r="V3" s="3480">
        <v>0</v>
      </c>
      <c r="W3" s="3480" t="s">
        <v>3475</v>
      </c>
    </row>
    <row r="4" spans="1:23" s="3480" customFormat="1">
      <c r="A4" s="3480" t="s">
        <v>3476</v>
      </c>
      <c r="B4" s="3480" t="s">
        <v>3460</v>
      </c>
      <c r="C4" s="3480" t="s">
        <v>3477</v>
      </c>
      <c r="D4" s="3480" t="s">
        <v>3462</v>
      </c>
      <c r="E4" s="3480">
        <v>28676.63</v>
      </c>
      <c r="F4" s="3480">
        <v>114706.51</v>
      </c>
      <c r="G4" s="3480" t="s">
        <v>3478</v>
      </c>
      <c r="H4" s="3480" t="s">
        <v>3463</v>
      </c>
      <c r="I4" s="3480" t="s">
        <v>3479</v>
      </c>
      <c r="J4" s="3480" t="s">
        <v>3465</v>
      </c>
      <c r="K4" s="3481">
        <v>44179.000497685185</v>
      </c>
      <c r="L4" s="3481">
        <v>44179.000497685185</v>
      </c>
      <c r="M4" s="3480" t="s">
        <v>3466</v>
      </c>
      <c r="N4" s="3480" t="s">
        <v>3480</v>
      </c>
      <c r="O4" s="3480">
        <v>175500</v>
      </c>
      <c r="P4" s="3480">
        <v>35500</v>
      </c>
      <c r="Q4" s="3480" t="s">
        <v>3481</v>
      </c>
      <c r="R4" s="3480">
        <v>175500</v>
      </c>
      <c r="S4" s="3480">
        <v>61199.66</v>
      </c>
      <c r="T4" s="3480">
        <v>4079.98</v>
      </c>
      <c r="U4" s="3480">
        <v>15300</v>
      </c>
      <c r="V4" s="3480">
        <v>0</v>
      </c>
      <c r="W4" s="3480" t="s">
        <v>3482</v>
      </c>
    </row>
    <row r="5" spans="1:23">
      <c r="A5" t="s">
        <v>3483</v>
      </c>
      <c r="B5" t="s">
        <v>3460</v>
      </c>
      <c r="C5" t="s">
        <v>3484</v>
      </c>
      <c r="D5" t="s">
        <v>3462</v>
      </c>
      <c r="E5">
        <v>30159.25</v>
      </c>
      <c r="F5">
        <v>138421</v>
      </c>
      <c r="G5" t="s">
        <v>3485</v>
      </c>
      <c r="H5" t="s">
        <v>3463</v>
      </c>
      <c r="I5" t="s">
        <v>3472</v>
      </c>
      <c r="J5" t="s">
        <v>3465</v>
      </c>
      <c r="K5" s="3463">
        <v>43811.000497685185</v>
      </c>
      <c r="L5" s="3463">
        <v>43811.000497685185</v>
      </c>
      <c r="M5" t="s">
        <v>3466</v>
      </c>
      <c r="N5" t="s">
        <v>3486</v>
      </c>
      <c r="O5">
        <v>230100</v>
      </c>
      <c r="P5">
        <v>46100</v>
      </c>
      <c r="Q5" t="s">
        <v>3487</v>
      </c>
      <c r="R5">
        <v>230100</v>
      </c>
      <c r="S5">
        <v>76295</v>
      </c>
      <c r="T5">
        <v>5086.33</v>
      </c>
      <c r="U5">
        <v>16623</v>
      </c>
      <c r="V5">
        <v>0</v>
      </c>
      <c r="W5" t="s">
        <v>3482</v>
      </c>
    </row>
    <row r="6" spans="1:23">
      <c r="A6" t="s">
        <v>3488</v>
      </c>
      <c r="B6" t="s">
        <v>3460</v>
      </c>
      <c r="C6" t="s">
        <v>3489</v>
      </c>
      <c r="D6" t="s">
        <v>3462</v>
      </c>
      <c r="E6">
        <v>35629.120000000003</v>
      </c>
      <c r="F6">
        <v>100429</v>
      </c>
      <c r="G6" t="s">
        <v>3490</v>
      </c>
      <c r="H6" t="s">
        <v>3463</v>
      </c>
      <c r="I6" t="s">
        <v>3491</v>
      </c>
      <c r="J6" t="s">
        <v>3465</v>
      </c>
      <c r="K6" s="3463">
        <v>43811.000497685185</v>
      </c>
      <c r="L6" s="3463">
        <v>43811.000497685185</v>
      </c>
      <c r="M6" t="s">
        <v>3466</v>
      </c>
      <c r="N6" t="s">
        <v>3486</v>
      </c>
      <c r="O6">
        <v>166700</v>
      </c>
      <c r="P6">
        <v>33400</v>
      </c>
      <c r="Q6" t="s">
        <v>3487</v>
      </c>
      <c r="R6">
        <v>166700</v>
      </c>
      <c r="S6">
        <v>46787.57</v>
      </c>
      <c r="T6">
        <v>3119.17</v>
      </c>
      <c r="U6">
        <v>16599</v>
      </c>
      <c r="V6">
        <v>0</v>
      </c>
      <c r="W6" t="s">
        <v>3482</v>
      </c>
    </row>
    <row r="7" spans="1:23" s="3467" customFormat="1">
      <c r="A7" s="3467" t="s">
        <v>3492</v>
      </c>
      <c r="B7" s="3467" t="s">
        <v>3460</v>
      </c>
      <c r="C7" s="3467" t="s">
        <v>3493</v>
      </c>
      <c r="D7" s="3467" t="s">
        <v>3462</v>
      </c>
      <c r="E7" s="3467">
        <v>59747.77</v>
      </c>
      <c r="F7" s="3467">
        <v>89622</v>
      </c>
      <c r="G7" s="3467">
        <v>1.5</v>
      </c>
      <c r="H7" s="3467" t="s">
        <v>3463</v>
      </c>
      <c r="I7" s="3467" t="s">
        <v>3464</v>
      </c>
      <c r="J7" s="3467" t="s">
        <v>3465</v>
      </c>
      <c r="K7" s="3468">
        <v>43109.000497685185</v>
      </c>
      <c r="L7" s="3468">
        <v>43109.000497685185</v>
      </c>
      <c r="M7" s="3467" t="s">
        <v>3466</v>
      </c>
      <c r="N7" s="3467" t="s">
        <v>3494</v>
      </c>
      <c r="O7" s="3467">
        <v>146800</v>
      </c>
      <c r="P7" s="3467">
        <v>44000</v>
      </c>
      <c r="Q7" s="3467" t="s">
        <v>633</v>
      </c>
      <c r="R7" s="3467">
        <v>146800</v>
      </c>
      <c r="S7" s="3467">
        <v>24569.95</v>
      </c>
      <c r="T7" s="3467">
        <v>1638</v>
      </c>
      <c r="U7" s="3467">
        <v>16380</v>
      </c>
      <c r="V7" s="3467">
        <v>0</v>
      </c>
      <c r="W7" s="3467" t="s">
        <v>3495</v>
      </c>
    </row>
    <row r="8" spans="1:23" s="3467" customFormat="1">
      <c r="A8" s="3467" t="s">
        <v>3496</v>
      </c>
      <c r="B8" s="3467" t="s">
        <v>3460</v>
      </c>
      <c r="C8" s="3467" t="s">
        <v>3497</v>
      </c>
      <c r="D8" s="3467" t="s">
        <v>3462</v>
      </c>
      <c r="E8" s="3467">
        <v>31420.65</v>
      </c>
      <c r="F8" s="3467">
        <v>65983</v>
      </c>
      <c r="G8" s="3467">
        <v>2.1</v>
      </c>
      <c r="H8" s="3467" t="s">
        <v>3463</v>
      </c>
      <c r="I8" s="3467" t="s">
        <v>3464</v>
      </c>
      <c r="J8" s="3467" t="s">
        <v>3465</v>
      </c>
      <c r="K8" s="3468">
        <v>43109.000497685185</v>
      </c>
      <c r="L8" s="3468">
        <v>43109.000497685185</v>
      </c>
      <c r="M8" s="3467" t="s">
        <v>3466</v>
      </c>
      <c r="N8" s="3467" t="s">
        <v>3498</v>
      </c>
      <c r="O8" s="3467">
        <v>108100</v>
      </c>
      <c r="P8" s="3467">
        <v>33000</v>
      </c>
      <c r="Q8" s="3467" t="s">
        <v>633</v>
      </c>
      <c r="R8" s="3467">
        <v>108100</v>
      </c>
      <c r="S8" s="3467">
        <v>34404.120000000003</v>
      </c>
      <c r="T8" s="3467">
        <v>2293.61</v>
      </c>
      <c r="U8" s="3467">
        <v>16383</v>
      </c>
      <c r="V8" s="3467">
        <v>0</v>
      </c>
      <c r="W8" s="3467" t="s">
        <v>3495</v>
      </c>
    </row>
    <row r="9" spans="1:23">
      <c r="A9" t="s">
        <v>3499</v>
      </c>
      <c r="B9" t="s">
        <v>3460</v>
      </c>
      <c r="C9" t="s">
        <v>3500</v>
      </c>
      <c r="D9" t="s">
        <v>3462</v>
      </c>
      <c r="E9">
        <v>16863.939999999999</v>
      </c>
      <c r="F9">
        <v>87923.61</v>
      </c>
      <c r="G9">
        <v>5.21</v>
      </c>
      <c r="H9" t="s">
        <v>3463</v>
      </c>
      <c r="I9" t="s">
        <v>3472</v>
      </c>
      <c r="J9" t="s">
        <v>3465</v>
      </c>
      <c r="K9" s="3463">
        <v>43053.000497685185</v>
      </c>
      <c r="L9" s="3463">
        <v>43053.000497685185</v>
      </c>
      <c r="M9" t="s">
        <v>3466</v>
      </c>
      <c r="N9" t="s">
        <v>3501</v>
      </c>
      <c r="O9">
        <v>211000</v>
      </c>
      <c r="P9">
        <v>64000</v>
      </c>
      <c r="Q9" t="s">
        <v>633</v>
      </c>
      <c r="R9">
        <v>211000</v>
      </c>
      <c r="S9">
        <v>125119.03999999999</v>
      </c>
      <c r="T9">
        <v>8341.27</v>
      </c>
      <c r="U9">
        <v>23998</v>
      </c>
      <c r="V9">
        <v>0</v>
      </c>
      <c r="W9" t="s">
        <v>3482</v>
      </c>
    </row>
    <row r="10" spans="1:23" s="3467" customFormat="1">
      <c r="A10" s="3467" t="s">
        <v>3502</v>
      </c>
      <c r="B10" s="3467" t="s">
        <v>3460</v>
      </c>
      <c r="C10" s="3467" t="s">
        <v>3503</v>
      </c>
      <c r="D10" s="3467" t="s">
        <v>3462</v>
      </c>
      <c r="E10" s="3467">
        <v>69848.44</v>
      </c>
      <c r="F10" s="3467">
        <v>146863</v>
      </c>
      <c r="G10" s="3467">
        <v>2.1</v>
      </c>
      <c r="H10" s="3467" t="s">
        <v>3463</v>
      </c>
      <c r="I10" s="3467" t="s">
        <v>3464</v>
      </c>
      <c r="J10" s="3467" t="s">
        <v>3465</v>
      </c>
      <c r="K10" s="3468">
        <v>42711.000497685185</v>
      </c>
      <c r="L10" s="3468">
        <v>42711.000497685185</v>
      </c>
      <c r="M10" s="3467" t="s">
        <v>3466</v>
      </c>
      <c r="N10" s="3467" t="s">
        <v>3504</v>
      </c>
      <c r="O10" s="3467">
        <v>220000</v>
      </c>
      <c r="P10" s="3467">
        <v>66000</v>
      </c>
      <c r="Q10" s="3467" t="s">
        <v>633</v>
      </c>
      <c r="R10" s="3467">
        <v>220000</v>
      </c>
      <c r="S10" s="3467">
        <v>31496.76</v>
      </c>
      <c r="T10" s="3467">
        <v>2099.7800000000002</v>
      </c>
      <c r="U10" s="3467">
        <v>14980</v>
      </c>
      <c r="V10" s="3467">
        <v>0</v>
      </c>
      <c r="W10" s="3467" t="s">
        <v>3495</v>
      </c>
    </row>
    <row r="11" spans="1:23" s="3467" customFormat="1">
      <c r="A11" s="3467" t="s">
        <v>3505</v>
      </c>
      <c r="B11" s="3467" t="s">
        <v>3460</v>
      </c>
      <c r="C11" s="3467" t="s">
        <v>3506</v>
      </c>
      <c r="D11" s="3467" t="s">
        <v>3462</v>
      </c>
      <c r="E11" s="3467">
        <v>66079.679999999993</v>
      </c>
      <c r="F11" s="3467">
        <v>111429</v>
      </c>
      <c r="G11" s="3467">
        <v>1.69</v>
      </c>
      <c r="H11" s="3467" t="s">
        <v>3463</v>
      </c>
      <c r="I11" s="3467" t="s">
        <v>3464</v>
      </c>
      <c r="J11" s="3467" t="s">
        <v>3465</v>
      </c>
      <c r="K11" s="3468">
        <v>42711.000497685185</v>
      </c>
      <c r="L11" s="3468">
        <v>42711.000497685185</v>
      </c>
      <c r="M11" s="3467" t="s">
        <v>3466</v>
      </c>
      <c r="N11" s="3467" t="s">
        <v>3498</v>
      </c>
      <c r="O11" s="3467">
        <v>135000</v>
      </c>
      <c r="P11" s="3467">
        <v>40000</v>
      </c>
      <c r="Q11" s="3467" t="s">
        <v>633</v>
      </c>
      <c r="R11" s="3467">
        <v>135000</v>
      </c>
      <c r="S11" s="3467">
        <v>20429.88</v>
      </c>
      <c r="T11" s="3467">
        <v>1361.99</v>
      </c>
      <c r="U11" s="3467">
        <v>12115</v>
      </c>
      <c r="V11" s="3467">
        <v>0</v>
      </c>
      <c r="W11" s="3467" t="s">
        <v>3495</v>
      </c>
    </row>
    <row r="12" spans="1:23">
      <c r="A12" t="s">
        <v>3507</v>
      </c>
      <c r="B12" t="s">
        <v>3460</v>
      </c>
      <c r="C12" t="s">
        <v>3508</v>
      </c>
      <c r="D12" t="s">
        <v>3462</v>
      </c>
      <c r="E12">
        <v>35244.94</v>
      </c>
      <c r="F12">
        <v>123357</v>
      </c>
      <c r="G12">
        <v>3.5</v>
      </c>
      <c r="H12" t="s">
        <v>3463</v>
      </c>
      <c r="I12" t="s">
        <v>3472</v>
      </c>
      <c r="J12" t="s">
        <v>3465</v>
      </c>
      <c r="K12" s="3463">
        <v>42331.000497685185</v>
      </c>
      <c r="L12" s="3463">
        <v>42331.000497685185</v>
      </c>
      <c r="M12" t="s">
        <v>3466</v>
      </c>
      <c r="N12" t="s">
        <v>3509</v>
      </c>
      <c r="O12">
        <v>160000</v>
      </c>
      <c r="P12">
        <v>48000</v>
      </c>
      <c r="Q12" t="s">
        <v>633</v>
      </c>
      <c r="R12">
        <v>354000</v>
      </c>
      <c r="S12">
        <v>100439.95</v>
      </c>
      <c r="T12">
        <v>6696</v>
      </c>
      <c r="U12">
        <v>28697</v>
      </c>
      <c r="V12">
        <v>121.25</v>
      </c>
      <c r="W12" t="s">
        <v>3482</v>
      </c>
    </row>
    <row r="13" spans="1:23" s="3467" customFormat="1">
      <c r="A13" s="3467" t="s">
        <v>3510</v>
      </c>
      <c r="B13" s="3467" t="s">
        <v>3460</v>
      </c>
      <c r="C13" s="3467" t="s">
        <v>3511</v>
      </c>
      <c r="D13" s="3467" t="s">
        <v>3462</v>
      </c>
      <c r="E13" s="3467">
        <v>27377.24</v>
      </c>
      <c r="F13" s="3467">
        <v>62968</v>
      </c>
      <c r="G13" s="3467">
        <v>2.2999999999999998</v>
      </c>
      <c r="H13" s="3467" t="s">
        <v>3463</v>
      </c>
      <c r="I13" s="3467" t="s">
        <v>3464</v>
      </c>
      <c r="J13" s="3467" t="s">
        <v>3465</v>
      </c>
      <c r="K13" s="3468">
        <v>42304.000497685185</v>
      </c>
      <c r="L13" s="3468">
        <v>42304.000497685185</v>
      </c>
      <c r="M13" s="3467" t="s">
        <v>3466</v>
      </c>
      <c r="N13" s="3467" t="s">
        <v>3504</v>
      </c>
      <c r="O13" s="3467">
        <v>65000</v>
      </c>
      <c r="P13" s="3467">
        <v>20000</v>
      </c>
      <c r="Q13" s="3467" t="s">
        <v>633</v>
      </c>
      <c r="R13" s="3467">
        <v>65000</v>
      </c>
      <c r="S13" s="3467">
        <v>23742.35</v>
      </c>
      <c r="T13" s="3467">
        <v>1582.82</v>
      </c>
      <c r="U13" s="3467">
        <v>10323</v>
      </c>
      <c r="V13" s="3467">
        <v>0</v>
      </c>
      <c r="W13" s="3467" t="s">
        <v>3495</v>
      </c>
    </row>
    <row r="14" spans="1:23">
      <c r="A14" t="s">
        <v>3512</v>
      </c>
      <c r="B14" t="s">
        <v>3460</v>
      </c>
      <c r="C14" t="s">
        <v>3513</v>
      </c>
      <c r="D14" t="s">
        <v>3462</v>
      </c>
      <c r="E14">
        <v>23342.84</v>
      </c>
      <c r="F14">
        <v>91000</v>
      </c>
      <c r="G14">
        <v>3.9</v>
      </c>
      <c r="H14" t="s">
        <v>3463</v>
      </c>
      <c r="I14" t="s">
        <v>3514</v>
      </c>
      <c r="J14" t="s">
        <v>3465</v>
      </c>
      <c r="K14" s="3463">
        <v>41871.000497685185</v>
      </c>
      <c r="L14" s="3463">
        <v>41871.000497685185</v>
      </c>
      <c r="M14" t="s">
        <v>3466</v>
      </c>
      <c r="N14" t="s">
        <v>3515</v>
      </c>
      <c r="O14">
        <v>100000</v>
      </c>
      <c r="P14">
        <v>30000</v>
      </c>
      <c r="Q14" t="s">
        <v>633</v>
      </c>
      <c r="R14">
        <v>101000</v>
      </c>
      <c r="S14">
        <v>43268.08</v>
      </c>
      <c r="T14">
        <v>2884.54</v>
      </c>
      <c r="U14">
        <v>11099</v>
      </c>
      <c r="V14">
        <v>1</v>
      </c>
      <c r="W14" t="s">
        <v>3516</v>
      </c>
    </row>
    <row r="15" spans="1:23">
      <c r="A15" t="s">
        <v>3517</v>
      </c>
      <c r="B15" t="s">
        <v>3460</v>
      </c>
      <c r="C15" t="s">
        <v>3518</v>
      </c>
      <c r="D15" t="s">
        <v>3462</v>
      </c>
      <c r="E15">
        <v>28450.28</v>
      </c>
      <c r="F15">
        <v>80000</v>
      </c>
      <c r="G15">
        <v>2.81</v>
      </c>
      <c r="H15" t="s">
        <v>3463</v>
      </c>
      <c r="I15" t="s">
        <v>3519</v>
      </c>
      <c r="J15" t="s">
        <v>3465</v>
      </c>
      <c r="K15" s="3463">
        <v>41568.000497685185</v>
      </c>
      <c r="L15" s="3463">
        <v>41568.000497685185</v>
      </c>
      <c r="M15" t="s">
        <v>3466</v>
      </c>
      <c r="N15" t="s">
        <v>3520</v>
      </c>
      <c r="O15">
        <v>16000</v>
      </c>
      <c r="P15">
        <v>3200</v>
      </c>
      <c r="Q15" t="s">
        <v>633</v>
      </c>
      <c r="R15">
        <v>32200</v>
      </c>
      <c r="S15">
        <v>11317.99</v>
      </c>
      <c r="T15">
        <v>754.53</v>
      </c>
      <c r="U15">
        <v>4025</v>
      </c>
      <c r="V15">
        <v>101.25</v>
      </c>
      <c r="W15" t="s">
        <v>3516</v>
      </c>
    </row>
    <row r="16" spans="1:23">
      <c r="A16" t="s">
        <v>3521</v>
      </c>
      <c r="B16" t="s">
        <v>3460</v>
      </c>
      <c r="C16" t="s">
        <v>3522</v>
      </c>
      <c r="D16" t="s">
        <v>3462</v>
      </c>
      <c r="E16">
        <v>21071.040000000001</v>
      </c>
      <c r="F16">
        <v>105355</v>
      </c>
      <c r="G16">
        <v>5</v>
      </c>
      <c r="H16" t="s">
        <v>3523</v>
      </c>
      <c r="I16" t="s">
        <v>3514</v>
      </c>
      <c r="J16" t="s">
        <v>3465</v>
      </c>
      <c r="K16" s="3463">
        <v>41452.000497685185</v>
      </c>
      <c r="L16" s="3463">
        <v>41452.000497685185</v>
      </c>
      <c r="M16" t="s">
        <v>3466</v>
      </c>
      <c r="N16" t="s">
        <v>3524</v>
      </c>
      <c r="O16" t="s">
        <v>3525</v>
      </c>
      <c r="P16">
        <v>33000</v>
      </c>
      <c r="Q16" t="s">
        <v>633</v>
      </c>
      <c r="R16">
        <v>143000</v>
      </c>
      <c r="S16">
        <v>67865.66</v>
      </c>
      <c r="T16">
        <v>4524.38</v>
      </c>
      <c r="U16">
        <v>13573</v>
      </c>
      <c r="V16">
        <v>0</v>
      </c>
      <c r="W16" t="s">
        <v>3516</v>
      </c>
    </row>
    <row r="17" spans="1:23">
      <c r="A17" t="s">
        <v>3526</v>
      </c>
      <c r="B17" t="s">
        <v>3460</v>
      </c>
      <c r="C17" t="s">
        <v>3527</v>
      </c>
      <c r="D17" t="s">
        <v>3462</v>
      </c>
      <c r="E17">
        <v>11597.79</v>
      </c>
      <c r="F17">
        <v>54665.24</v>
      </c>
      <c r="G17">
        <v>4.71</v>
      </c>
      <c r="H17" t="s">
        <v>3463</v>
      </c>
      <c r="I17" t="s">
        <v>3514</v>
      </c>
      <c r="J17" t="s">
        <v>3465</v>
      </c>
      <c r="K17" s="3463">
        <v>41373.000497685185</v>
      </c>
      <c r="L17" s="3463">
        <v>41373.000497685185</v>
      </c>
      <c r="M17" t="s">
        <v>3466</v>
      </c>
      <c r="N17" t="s">
        <v>3528</v>
      </c>
      <c r="O17">
        <v>42500</v>
      </c>
      <c r="P17">
        <v>12000</v>
      </c>
      <c r="Q17" t="s">
        <v>633</v>
      </c>
      <c r="R17">
        <v>116500</v>
      </c>
      <c r="S17">
        <v>100450.17</v>
      </c>
      <c r="T17">
        <v>6696.68</v>
      </c>
      <c r="U17">
        <v>21312</v>
      </c>
      <c r="V17">
        <v>174.12</v>
      </c>
      <c r="W17" t="s">
        <v>3516</v>
      </c>
    </row>
    <row r="18" spans="1:23">
      <c r="A18" t="s">
        <v>3529</v>
      </c>
      <c r="B18" t="s">
        <v>3460</v>
      </c>
      <c r="C18" t="s">
        <v>3530</v>
      </c>
      <c r="D18" t="s">
        <v>3462</v>
      </c>
      <c r="E18">
        <v>7676</v>
      </c>
      <c r="F18">
        <v>30704</v>
      </c>
      <c r="G18">
        <v>4</v>
      </c>
      <c r="H18" t="s">
        <v>3463</v>
      </c>
      <c r="I18" t="s">
        <v>3531</v>
      </c>
      <c r="J18" t="s">
        <v>3465</v>
      </c>
      <c r="K18" s="3463">
        <v>40408.000497685185</v>
      </c>
      <c r="L18" s="3463">
        <v>40408.000497685185</v>
      </c>
      <c r="M18" t="s">
        <v>3466</v>
      </c>
      <c r="N18" t="s">
        <v>3532</v>
      </c>
      <c r="O18">
        <v>18427</v>
      </c>
      <c r="P18">
        <v>5600</v>
      </c>
      <c r="Q18" t="s">
        <v>633</v>
      </c>
      <c r="R18">
        <v>23000</v>
      </c>
      <c r="S18">
        <v>29963.52</v>
      </c>
      <c r="T18">
        <v>1997.57</v>
      </c>
      <c r="U18">
        <v>7491</v>
      </c>
      <c r="V18">
        <v>24.82</v>
      </c>
      <c r="W18" t="s">
        <v>3533</v>
      </c>
    </row>
    <row r="19" spans="1:23">
      <c r="A19" t="s">
        <v>3534</v>
      </c>
      <c r="B19" t="s">
        <v>3460</v>
      </c>
      <c r="C19" t="s">
        <v>3535</v>
      </c>
      <c r="D19" t="s">
        <v>3462</v>
      </c>
      <c r="E19">
        <v>52086.23</v>
      </c>
      <c r="F19">
        <v>208344.9</v>
      </c>
      <c r="G19">
        <v>4</v>
      </c>
      <c r="H19" t="s">
        <v>3523</v>
      </c>
      <c r="I19" t="s">
        <v>3536</v>
      </c>
      <c r="J19" t="s">
        <v>3465</v>
      </c>
      <c r="K19" s="3463">
        <v>39231.000497685185</v>
      </c>
      <c r="L19" s="3463">
        <v>39231.000497685185</v>
      </c>
      <c r="M19" t="s">
        <v>3466</v>
      </c>
      <c r="N19" t="s">
        <v>3537</v>
      </c>
      <c r="O19">
        <v>51000</v>
      </c>
      <c r="P19">
        <v>5000</v>
      </c>
      <c r="Q19" t="s">
        <v>633</v>
      </c>
      <c r="R19">
        <v>52000</v>
      </c>
      <c r="S19">
        <v>9983.44</v>
      </c>
      <c r="T19">
        <v>665.56</v>
      </c>
      <c r="U19">
        <v>2496</v>
      </c>
      <c r="V19">
        <v>1.96</v>
      </c>
      <c r="W19" t="s">
        <v>3538</v>
      </c>
    </row>
    <row r="20" spans="1:23">
      <c r="A20" t="s">
        <v>3539</v>
      </c>
      <c r="B20" t="s">
        <v>3460</v>
      </c>
      <c r="C20" t="s">
        <v>3540</v>
      </c>
      <c r="D20" t="s">
        <v>3462</v>
      </c>
      <c r="E20">
        <v>8285.0499999999993</v>
      </c>
      <c r="F20">
        <v>33140</v>
      </c>
      <c r="G20">
        <v>4</v>
      </c>
      <c r="H20" t="s">
        <v>3523</v>
      </c>
      <c r="I20" t="s">
        <v>3541</v>
      </c>
      <c r="J20" t="s">
        <v>3465</v>
      </c>
      <c r="K20" s="3463">
        <v>39413.000497685185</v>
      </c>
      <c r="L20" s="3463">
        <v>39413.000497685185</v>
      </c>
      <c r="M20" t="s">
        <v>3466</v>
      </c>
      <c r="N20" t="s">
        <v>3542</v>
      </c>
      <c r="O20">
        <v>10100</v>
      </c>
      <c r="P20">
        <v>1500</v>
      </c>
      <c r="Q20" t="s">
        <v>633</v>
      </c>
      <c r="R20">
        <v>10399.33</v>
      </c>
      <c r="S20">
        <v>12551.92</v>
      </c>
      <c r="T20">
        <v>836.79</v>
      </c>
      <c r="U20">
        <v>3138</v>
      </c>
      <c r="V20">
        <v>2.96</v>
      </c>
      <c r="W20" t="s">
        <v>3543</v>
      </c>
    </row>
    <row r="21" spans="1:23">
      <c r="A21" t="s">
        <v>3544</v>
      </c>
      <c r="B21" t="s">
        <v>3460</v>
      </c>
      <c r="C21" t="s">
        <v>3545</v>
      </c>
      <c r="D21" t="s">
        <v>3462</v>
      </c>
      <c r="E21">
        <v>19063</v>
      </c>
      <c r="F21">
        <v>82465</v>
      </c>
      <c r="G21">
        <v>4.33</v>
      </c>
      <c r="H21" t="s">
        <v>3523</v>
      </c>
      <c r="I21" t="s">
        <v>3541</v>
      </c>
      <c r="J21" t="s">
        <v>3465</v>
      </c>
      <c r="K21" s="3463">
        <v>40521.000497685185</v>
      </c>
      <c r="L21" s="3463">
        <v>40525.000497685185</v>
      </c>
      <c r="M21" t="s">
        <v>3466</v>
      </c>
      <c r="N21" t="s">
        <v>3546</v>
      </c>
      <c r="O21" t="s">
        <v>3525</v>
      </c>
      <c r="P21">
        <v>7000</v>
      </c>
      <c r="Q21" t="s">
        <v>633</v>
      </c>
      <c r="R21">
        <v>52612.67</v>
      </c>
      <c r="S21">
        <v>27599.360000000001</v>
      </c>
      <c r="T21">
        <v>1839.96</v>
      </c>
      <c r="U21">
        <v>6380</v>
      </c>
      <c r="V21">
        <v>0</v>
      </c>
      <c r="W21" t="s">
        <v>3516</v>
      </c>
    </row>
    <row r="22" spans="1:23">
      <c r="A22" t="s">
        <v>3547</v>
      </c>
      <c r="B22" t="s">
        <v>3460</v>
      </c>
      <c r="C22" t="s">
        <v>3548</v>
      </c>
      <c r="D22" t="s">
        <v>3462</v>
      </c>
      <c r="E22">
        <v>19749.66</v>
      </c>
      <c r="F22">
        <v>76348.47</v>
      </c>
      <c r="G22">
        <v>3.87</v>
      </c>
      <c r="H22" t="s">
        <v>3523</v>
      </c>
      <c r="I22" t="s">
        <v>3541</v>
      </c>
      <c r="J22" t="s">
        <v>3465</v>
      </c>
      <c r="K22" s="3463">
        <v>40122.000497685185</v>
      </c>
      <c r="L22" s="3463">
        <v>40128.000497685185</v>
      </c>
      <c r="M22" t="s">
        <v>3466</v>
      </c>
      <c r="N22" t="s">
        <v>3549</v>
      </c>
      <c r="O22">
        <v>26000</v>
      </c>
      <c r="P22">
        <v>2000</v>
      </c>
      <c r="Q22" t="s">
        <v>633</v>
      </c>
      <c r="R22">
        <v>31288</v>
      </c>
      <c r="S22">
        <v>15842.29</v>
      </c>
      <c r="T22">
        <v>1056.1500000000001</v>
      </c>
      <c r="U22">
        <v>4098</v>
      </c>
      <c r="V22">
        <v>20.34</v>
      </c>
      <c r="W22" t="s">
        <v>3550</v>
      </c>
    </row>
    <row r="23" spans="1:23">
      <c r="A23" t="s">
        <v>3551</v>
      </c>
      <c r="B23" t="s">
        <v>3460</v>
      </c>
      <c r="C23" t="s">
        <v>3552</v>
      </c>
      <c r="D23" t="s">
        <v>3462</v>
      </c>
      <c r="E23">
        <v>18904.669999999998</v>
      </c>
      <c r="F23">
        <v>85073</v>
      </c>
      <c r="G23">
        <v>4.5</v>
      </c>
      <c r="H23" t="s">
        <v>3523</v>
      </c>
      <c r="I23" t="s">
        <v>3541</v>
      </c>
      <c r="J23" t="s">
        <v>3465</v>
      </c>
      <c r="K23" s="3463">
        <v>39958.000497685185</v>
      </c>
      <c r="L23" s="3463">
        <v>39958.000497685185</v>
      </c>
      <c r="M23" t="s">
        <v>3466</v>
      </c>
      <c r="N23" t="s">
        <v>3553</v>
      </c>
      <c r="O23">
        <v>25395.89</v>
      </c>
      <c r="P23">
        <v>4000</v>
      </c>
      <c r="Q23" t="s">
        <v>633</v>
      </c>
      <c r="R23">
        <v>25395.89</v>
      </c>
      <c r="S23">
        <v>13433.65</v>
      </c>
      <c r="T23">
        <v>895.58</v>
      </c>
      <c r="U23">
        <v>2985</v>
      </c>
      <c r="V23">
        <v>0</v>
      </c>
      <c r="W23" t="s">
        <v>3525</v>
      </c>
    </row>
    <row r="24" spans="1:23">
      <c r="A24" t="s">
        <v>3554</v>
      </c>
      <c r="B24" t="s">
        <v>3460</v>
      </c>
      <c r="C24" t="s">
        <v>3555</v>
      </c>
      <c r="D24" t="s">
        <v>3462</v>
      </c>
      <c r="E24">
        <v>6586</v>
      </c>
      <c r="F24">
        <v>24500</v>
      </c>
      <c r="G24">
        <v>3.72</v>
      </c>
      <c r="H24" t="s">
        <v>3523</v>
      </c>
      <c r="I24" t="s">
        <v>3514</v>
      </c>
      <c r="J24" t="s">
        <v>3465</v>
      </c>
      <c r="K24" s="3463">
        <v>40540.000497685185</v>
      </c>
      <c r="L24" s="3463">
        <v>40542.000497685185</v>
      </c>
      <c r="M24" t="s">
        <v>3466</v>
      </c>
      <c r="N24" t="s">
        <v>3556</v>
      </c>
      <c r="O24">
        <v>14800</v>
      </c>
      <c r="P24" t="s">
        <v>3557</v>
      </c>
      <c r="Q24" t="s">
        <v>633</v>
      </c>
      <c r="R24">
        <v>15925</v>
      </c>
      <c r="S24">
        <v>24180.07</v>
      </c>
      <c r="T24">
        <v>1612.01</v>
      </c>
      <c r="U24">
        <v>6500</v>
      </c>
      <c r="V24">
        <v>7.6</v>
      </c>
      <c r="W24" t="s">
        <v>3516</v>
      </c>
    </row>
    <row r="25" spans="1:23">
      <c r="A25" t="s">
        <v>3558</v>
      </c>
      <c r="B25" t="s">
        <v>3460</v>
      </c>
      <c r="C25" t="s">
        <v>3559</v>
      </c>
      <c r="D25" t="s">
        <v>3462</v>
      </c>
      <c r="E25">
        <v>12658.06</v>
      </c>
      <c r="F25">
        <v>50632</v>
      </c>
      <c r="G25">
        <v>4</v>
      </c>
      <c r="H25" t="s">
        <v>3523</v>
      </c>
      <c r="I25" t="s">
        <v>3541</v>
      </c>
      <c r="J25" t="s">
        <v>3465</v>
      </c>
      <c r="K25" s="3463">
        <v>39415.000497685185</v>
      </c>
      <c r="L25" s="3463">
        <v>39415.000497685185</v>
      </c>
      <c r="M25" t="s">
        <v>3466</v>
      </c>
      <c r="N25" t="s">
        <v>3560</v>
      </c>
      <c r="O25">
        <v>15500</v>
      </c>
      <c r="P25">
        <v>2500</v>
      </c>
      <c r="Q25" t="s">
        <v>633</v>
      </c>
      <c r="R25">
        <v>15695.92</v>
      </c>
      <c r="S25">
        <v>12399.94</v>
      </c>
      <c r="T25">
        <v>826.66</v>
      </c>
      <c r="U25">
        <v>3100</v>
      </c>
      <c r="V25">
        <v>1.26</v>
      </c>
      <c r="W25" t="s">
        <v>3543</v>
      </c>
    </row>
    <row r="26" spans="1:23">
      <c r="A26" t="s">
        <v>3561</v>
      </c>
      <c r="B26" t="s">
        <v>3460</v>
      </c>
      <c r="C26" t="s">
        <v>3562</v>
      </c>
      <c r="D26" t="s">
        <v>3462</v>
      </c>
      <c r="E26">
        <v>11100</v>
      </c>
      <c r="F26">
        <v>38850</v>
      </c>
      <c r="G26">
        <v>3.5</v>
      </c>
      <c r="H26" t="s">
        <v>3523</v>
      </c>
      <c r="I26" t="s">
        <v>3514</v>
      </c>
      <c r="J26" t="s">
        <v>3465</v>
      </c>
      <c r="K26" s="3463">
        <v>41239.000497685185</v>
      </c>
      <c r="L26" s="3463">
        <v>41239.000497685185</v>
      </c>
      <c r="M26" t="s">
        <v>3466</v>
      </c>
      <c r="N26" t="s">
        <v>3563</v>
      </c>
      <c r="O26" t="s">
        <v>3525</v>
      </c>
      <c r="P26">
        <v>7500</v>
      </c>
      <c r="Q26" t="s">
        <v>633</v>
      </c>
      <c r="R26">
        <v>37249.39</v>
      </c>
      <c r="S26">
        <v>33558</v>
      </c>
      <c r="T26">
        <v>2237.1999999999998</v>
      </c>
      <c r="U26">
        <v>9588</v>
      </c>
      <c r="V26">
        <v>0</v>
      </c>
      <c r="W26" t="s">
        <v>3516</v>
      </c>
    </row>
    <row r="27" spans="1:23">
      <c r="A27" t="s">
        <v>3564</v>
      </c>
      <c r="B27" t="s">
        <v>3460</v>
      </c>
      <c r="C27" t="s">
        <v>3565</v>
      </c>
      <c r="D27" t="s">
        <v>3462</v>
      </c>
      <c r="E27">
        <v>10041.61</v>
      </c>
      <c r="F27">
        <v>25104.03</v>
      </c>
      <c r="G27">
        <v>2.5</v>
      </c>
      <c r="H27" t="s">
        <v>3463</v>
      </c>
      <c r="I27" t="s">
        <v>3531</v>
      </c>
      <c r="J27" t="s">
        <v>3465</v>
      </c>
      <c r="K27" s="3463">
        <v>40177.000497685185</v>
      </c>
      <c r="L27" s="3463">
        <v>40177.000497685185</v>
      </c>
      <c r="M27" t="s">
        <v>3466</v>
      </c>
      <c r="N27" t="s">
        <v>3566</v>
      </c>
      <c r="O27">
        <v>8663</v>
      </c>
      <c r="P27">
        <v>900</v>
      </c>
      <c r="Q27" t="s">
        <v>633</v>
      </c>
      <c r="R27">
        <v>17100</v>
      </c>
      <c r="S27">
        <v>17029.14</v>
      </c>
      <c r="T27">
        <v>1135.28</v>
      </c>
      <c r="U27">
        <v>6812</v>
      </c>
      <c r="V27">
        <v>97.39</v>
      </c>
      <c r="W27" t="s">
        <v>3543</v>
      </c>
    </row>
    <row r="28" spans="1:23">
      <c r="A28" t="s">
        <v>3567</v>
      </c>
      <c r="B28" t="s">
        <v>3460</v>
      </c>
      <c r="C28" t="s">
        <v>3568</v>
      </c>
      <c r="D28" t="s">
        <v>3462</v>
      </c>
      <c r="E28">
        <v>58374.87</v>
      </c>
      <c r="F28">
        <v>204312.1</v>
      </c>
      <c r="G28">
        <v>3.5</v>
      </c>
      <c r="H28" t="s">
        <v>3523</v>
      </c>
      <c r="I28" t="s">
        <v>3569</v>
      </c>
      <c r="J28" t="s">
        <v>3465</v>
      </c>
      <c r="K28" s="3463">
        <v>39976.000497685185</v>
      </c>
      <c r="L28" s="3463">
        <v>39976.000497685185</v>
      </c>
      <c r="M28" t="s">
        <v>3466</v>
      </c>
      <c r="N28" t="s">
        <v>3570</v>
      </c>
      <c r="O28" t="s">
        <v>3525</v>
      </c>
      <c r="P28" t="s">
        <v>3557</v>
      </c>
      <c r="Q28" t="s">
        <v>633</v>
      </c>
      <c r="R28">
        <v>67330</v>
      </c>
      <c r="S28">
        <v>11534.07</v>
      </c>
      <c r="T28">
        <v>768.94</v>
      </c>
      <c r="U28">
        <v>3295</v>
      </c>
      <c r="V28">
        <v>0</v>
      </c>
      <c r="W28" t="s">
        <v>3525</v>
      </c>
    </row>
    <row r="29" spans="1:23">
      <c r="A29" t="s">
        <v>3571</v>
      </c>
      <c r="B29" t="s">
        <v>3460</v>
      </c>
      <c r="C29" t="s">
        <v>3572</v>
      </c>
      <c r="D29" t="s">
        <v>3462</v>
      </c>
      <c r="E29">
        <v>177759</v>
      </c>
      <c r="F29">
        <v>257735</v>
      </c>
      <c r="G29">
        <v>1.45</v>
      </c>
      <c r="H29" t="s">
        <v>3523</v>
      </c>
      <c r="I29" t="s">
        <v>3573</v>
      </c>
      <c r="J29" t="s">
        <v>3465</v>
      </c>
      <c r="K29" s="3463">
        <v>38254.000497685185</v>
      </c>
      <c r="L29" s="3463">
        <v>38254.000497685185</v>
      </c>
      <c r="M29" t="s">
        <v>3466</v>
      </c>
      <c r="N29" t="s">
        <v>3574</v>
      </c>
      <c r="O29" t="s">
        <v>3525</v>
      </c>
      <c r="P29" t="s">
        <v>3557</v>
      </c>
      <c r="Q29" t="s">
        <v>633</v>
      </c>
      <c r="R29">
        <v>41990</v>
      </c>
      <c r="S29">
        <v>2362.1799999999998</v>
      </c>
      <c r="T29">
        <v>157.47999999999999</v>
      </c>
      <c r="U29">
        <v>1629</v>
      </c>
      <c r="V29">
        <v>0</v>
      </c>
      <c r="W29" t="s">
        <v>3525</v>
      </c>
    </row>
    <row r="30" spans="1:23">
      <c r="A30" t="s">
        <v>3575</v>
      </c>
      <c r="B30" t="s">
        <v>3460</v>
      </c>
      <c r="C30" t="s">
        <v>3576</v>
      </c>
      <c r="D30" t="s">
        <v>3462</v>
      </c>
      <c r="E30">
        <v>35436</v>
      </c>
      <c r="F30">
        <v>124026</v>
      </c>
      <c r="G30">
        <v>3.5</v>
      </c>
      <c r="H30" t="s">
        <v>3523</v>
      </c>
      <c r="I30" t="s">
        <v>3577</v>
      </c>
      <c r="J30" t="s">
        <v>3465</v>
      </c>
      <c r="K30" s="3463">
        <v>40632.000497685185</v>
      </c>
      <c r="L30" s="3463">
        <v>40634.000497685185</v>
      </c>
      <c r="M30" t="s">
        <v>3466</v>
      </c>
      <c r="N30" t="s">
        <v>3578</v>
      </c>
      <c r="O30" t="s">
        <v>3525</v>
      </c>
      <c r="P30">
        <v>10000</v>
      </c>
      <c r="Q30" t="s">
        <v>633</v>
      </c>
      <c r="R30">
        <v>67200</v>
      </c>
      <c r="S30">
        <v>18963.759999999998</v>
      </c>
      <c r="T30">
        <v>1264.25</v>
      </c>
      <c r="U30">
        <v>5418</v>
      </c>
      <c r="V30">
        <v>0</v>
      </c>
      <c r="W30" t="s">
        <v>3469</v>
      </c>
    </row>
    <row r="31" spans="1:23">
      <c r="A31" t="s">
        <v>3579</v>
      </c>
      <c r="B31" t="s">
        <v>3460</v>
      </c>
      <c r="C31" t="s">
        <v>3580</v>
      </c>
      <c r="D31" t="s">
        <v>3462</v>
      </c>
      <c r="E31">
        <v>13654</v>
      </c>
      <c r="F31">
        <v>47000</v>
      </c>
      <c r="G31">
        <v>3.44</v>
      </c>
      <c r="H31" t="s">
        <v>3463</v>
      </c>
      <c r="I31" t="s">
        <v>3573</v>
      </c>
      <c r="J31" t="s">
        <v>3465</v>
      </c>
      <c r="K31" s="3463">
        <v>38076.000497685185</v>
      </c>
      <c r="L31" s="3463">
        <v>38090.000497685185</v>
      </c>
      <c r="M31" t="s">
        <v>3466</v>
      </c>
      <c r="N31" t="s">
        <v>3581</v>
      </c>
      <c r="O31">
        <v>11881.6</v>
      </c>
      <c r="P31" t="s">
        <v>3557</v>
      </c>
      <c r="Q31" t="s">
        <v>633</v>
      </c>
      <c r="R31">
        <v>12200</v>
      </c>
      <c r="S31">
        <v>8935.11</v>
      </c>
      <c r="T31">
        <v>595.66999999999996</v>
      </c>
      <c r="U31">
        <v>2596</v>
      </c>
      <c r="V31">
        <v>2.68</v>
      </c>
      <c r="W31" t="s">
        <v>3525</v>
      </c>
    </row>
  </sheetData>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11" t="s">
        <v>2840</v>
      </c>
      <c r="B1" s="3811"/>
      <c r="C1" s="3811"/>
      <c r="D1" s="3811"/>
      <c r="E1" s="3811"/>
      <c r="F1" s="3811"/>
      <c r="G1" s="3812"/>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09" t="s">
        <v>2867</v>
      </c>
      <c r="B3" s="3225"/>
      <c r="C3" s="3226" t="s">
        <v>2812</v>
      </c>
      <c r="D3" s="3226" t="s">
        <v>2868</v>
      </c>
      <c r="E3" s="3226" t="s">
        <v>2814</v>
      </c>
      <c r="F3" s="3226" t="s">
        <v>2869</v>
      </c>
      <c r="G3" s="3226" t="s">
        <v>2632</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10"/>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13" t="s">
        <v>3182</v>
      </c>
      <c r="B1" s="3813"/>
    </row>
    <row r="2" spans="1:7" ht="14.25" thickBot="1">
      <c r="A2" s="3250"/>
      <c r="B2" s="3250"/>
    </row>
    <row r="3" spans="1:7" ht="14.25" thickBot="1">
      <c r="A3" s="3250"/>
      <c r="B3" s="3250"/>
      <c r="C3" s="3251" t="s">
        <v>2812</v>
      </c>
      <c r="D3" s="3251" t="s">
        <v>2868</v>
      </c>
      <c r="E3" s="3251" t="s">
        <v>2814</v>
      </c>
      <c r="F3" s="3251" t="s">
        <v>2869</v>
      </c>
      <c r="G3" s="3251" t="s">
        <v>2632</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5"/>
  </cols>
  <sheetData>
    <row r="1" spans="1:6">
      <c r="A1" s="3814" t="s">
        <v>3233</v>
      </c>
      <c r="B1" s="3814"/>
      <c r="C1" s="3814"/>
      <c r="D1" s="3814"/>
      <c r="E1" s="3814"/>
      <c r="F1" s="3815"/>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6">
        <f>基准地价修正!G23</f>
        <v>45322</v>
      </c>
      <c r="B1" s="3205" t="s">
        <v>3373</v>
      </c>
      <c r="C1" s="3206"/>
      <c r="D1" s="3206"/>
      <c r="E1" s="3206"/>
      <c r="F1" s="3206"/>
      <c r="G1" s="3206"/>
      <c r="H1" s="3206"/>
      <c r="I1" s="3206"/>
      <c r="J1" s="3160"/>
      <c r="K1" s="3206" t="s">
        <v>454</v>
      </c>
      <c r="L1" s="3206"/>
      <c r="M1" s="3206"/>
      <c r="N1" s="3206"/>
      <c r="O1" s="3206"/>
      <c r="P1" s="3206"/>
      <c r="Q1" s="3160"/>
      <c r="R1" s="3816" t="s">
        <v>456</v>
      </c>
      <c r="S1" s="3817"/>
      <c r="T1" s="3817"/>
      <c r="U1" s="3817"/>
      <c r="V1" s="3817"/>
      <c r="W1" s="3817"/>
      <c r="X1" s="3160"/>
      <c r="Y1" s="3816" t="s">
        <v>457</v>
      </c>
      <c r="Z1" s="3817"/>
      <c r="AA1" s="3817"/>
      <c r="AB1" s="3817"/>
      <c r="AC1" s="3817"/>
      <c r="AD1" s="3817"/>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3377</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0" t="s">
        <v>3378</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0" t="s">
        <v>3379</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3371</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3372</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3370</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3369</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3365</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3356</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2821</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2822</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2823</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2824</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2825</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3367</v>
      </c>
    </row>
    <row r="21" spans="1:30" s="3004" customFormat="1">
      <c r="I21" s="3203" t="s">
        <v>2826</v>
      </c>
    </row>
    <row r="22" spans="1:30" s="3004" customFormat="1"/>
    <row r="23" spans="1:30" s="3204" customFormat="1" ht="12.75">
      <c r="B23" s="3205" t="s">
        <v>3374</v>
      </c>
      <c r="C23" s="3206"/>
      <c r="D23" s="3206"/>
      <c r="E23" s="3206"/>
      <c r="F23" s="3206"/>
      <c r="G23" s="3206"/>
      <c r="H23" s="3206"/>
      <c r="I23" s="3206"/>
      <c r="J23" s="3160"/>
      <c r="K23" s="3206" t="s">
        <v>2827</v>
      </c>
      <c r="L23" s="3206"/>
      <c r="M23" s="3206"/>
      <c r="N23" s="3206"/>
      <c r="O23" s="3206"/>
      <c r="P23" s="3206"/>
      <c r="Q23" s="3160"/>
      <c r="R23" s="3816" t="s">
        <v>2828</v>
      </c>
      <c r="S23" s="3817"/>
      <c r="T23" s="3817"/>
      <c r="U23" s="3817"/>
      <c r="V23" s="3817"/>
      <c r="W23" s="3817"/>
      <c r="X23" s="3160"/>
      <c r="Y23" s="3816" t="s">
        <v>2829</v>
      </c>
      <c r="Z23" s="3817"/>
      <c r="AA23" s="3817"/>
      <c r="AB23" s="3817"/>
      <c r="AC23" s="3817"/>
      <c r="AD23" s="3817"/>
    </row>
    <row r="24" spans="1:30" s="3138" customFormat="1" ht="14.25" thickBot="1">
      <c r="B24" s="3139"/>
      <c r="C24" s="3140"/>
      <c r="D24" s="3141" t="s">
        <v>2830</v>
      </c>
      <c r="E24" s="3142" t="s">
        <v>2831</v>
      </c>
      <c r="F24" s="3142" t="s">
        <v>2832</v>
      </c>
      <c r="G24" s="3142" t="s">
        <v>2833</v>
      </c>
      <c r="H24" s="3142"/>
      <c r="I24" s="3142" t="s">
        <v>2834</v>
      </c>
      <c r="J24" s="3143"/>
      <c r="K24" s="3141" t="s">
        <v>2830</v>
      </c>
      <c r="L24" s="3142" t="s">
        <v>2831</v>
      </c>
      <c r="M24" s="3142" t="s">
        <v>2832</v>
      </c>
      <c r="N24" s="3142" t="s">
        <v>2833</v>
      </c>
      <c r="O24" s="3142"/>
      <c r="P24" s="3142" t="s">
        <v>2834</v>
      </c>
      <c r="Q24" s="3143"/>
      <c r="R24" s="3141" t="s">
        <v>2830</v>
      </c>
      <c r="S24" s="3142" t="s">
        <v>2831</v>
      </c>
      <c r="T24" s="3142" t="s">
        <v>2832</v>
      </c>
      <c r="U24" s="3142" t="s">
        <v>2833</v>
      </c>
      <c r="V24" s="3142"/>
      <c r="W24" s="3142" t="s">
        <v>2834</v>
      </c>
      <c r="X24" s="3143"/>
      <c r="Y24" s="3141" t="s">
        <v>2830</v>
      </c>
      <c r="Z24" s="3142" t="s">
        <v>2831</v>
      </c>
      <c r="AA24" s="3142" t="s">
        <v>2832</v>
      </c>
      <c r="AB24" s="3142" t="s">
        <v>2833</v>
      </c>
      <c r="AC24" s="3142"/>
      <c r="AD24" s="3142" t="s">
        <v>2834</v>
      </c>
    </row>
    <row r="25" spans="1:30" s="3156" customFormat="1" ht="12.75">
      <c r="A25" s="3144" t="s">
        <v>2835</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3377</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3378</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0" t="s">
        <v>3379</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3375</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3376</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3370</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3369</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3366</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3356</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2836</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2837</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2838</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2839</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2825</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23" t="s">
        <v>452</v>
      </c>
      <c r="C1" s="3823"/>
      <c r="D1" s="3823"/>
      <c r="E1" s="3823"/>
      <c r="F1" s="3823"/>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3364</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3361</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3362</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3363</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2437</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2314</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2313</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2312</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2309</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2308</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19">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19"/>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19"/>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28"/>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24">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19"/>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19"/>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28"/>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24">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19"/>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19"/>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20"/>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18">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19"/>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19"/>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20"/>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18">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19"/>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19"/>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20"/>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25">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26"/>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26"/>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27"/>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18">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19"/>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19"/>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20"/>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18">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19">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19">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20">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18">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19">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19">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20">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18">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19">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19">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20">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18">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19">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19">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20">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18">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19">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19">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20">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18">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19">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19">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20">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18">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19">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19">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20">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18">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19">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19">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20">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18">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19">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19">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20">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18">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19">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19">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20">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45322</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2310</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建筑物价值</v>
      </c>
      <c r="G2" s="3507"/>
      <c r="H2" s="3507" t="str">
        <f>IF(项目基本情况!B9="房地产市场价值","房地产市场价值","房地产价值")</f>
        <v>房地产价值</v>
      </c>
      <c r="I2" s="3507"/>
    </row>
    <row r="3" spans="1:9" ht="15">
      <c r="A3" s="3502"/>
      <c r="B3" s="3502"/>
      <c r="C3" s="3502"/>
      <c r="D3" s="852" t="s">
        <v>925</v>
      </c>
      <c r="E3" s="852" t="s">
        <v>931</v>
      </c>
      <c r="F3" s="852" t="s">
        <v>925</v>
      </c>
      <c r="G3" s="852" t="s">
        <v>926</v>
      </c>
      <c r="H3" s="852" t="s">
        <v>925</v>
      </c>
      <c r="I3" s="852" t="s">
        <v>926</v>
      </c>
    </row>
    <row r="4" spans="1:9" ht="15">
      <c r="A4" s="1500" t="str">
        <f>项目基本情况!S2</f>
        <v>北京市房地产</v>
      </c>
      <c r="B4" s="852">
        <f>项目基本情况!C17</f>
        <v>39707.960000000006</v>
      </c>
      <c r="C4" s="852">
        <f>项目基本情况!C18</f>
        <v>6294.36</v>
      </c>
      <c r="D4" s="852">
        <f ca="1">结果表!D118</f>
        <v>43958</v>
      </c>
      <c r="E4" s="852">
        <f ca="1">结果表!E118</f>
        <v>11070</v>
      </c>
      <c r="F4" s="852">
        <f ca="1">结果表!F118</f>
        <v>20280</v>
      </c>
      <c r="G4" s="852">
        <f ca="1">结果表!G118</f>
        <v>5107</v>
      </c>
      <c r="H4" s="852">
        <f ca="1">结果表!H118</f>
        <v>64238</v>
      </c>
      <c r="I4" s="852">
        <f ca="1">结果表!I118</f>
        <v>16178</v>
      </c>
    </row>
    <row r="5" spans="1:9" ht="30" customHeight="1">
      <c r="A5" s="3502" t="s">
        <v>927</v>
      </c>
      <c r="B5" s="3502"/>
      <c r="C5" s="3502"/>
      <c r="D5" s="3502" t="str">
        <f ca="1">结果表!D119</f>
        <v>肆亿叁仟玖佰伍拾捌万元整</v>
      </c>
      <c r="E5" s="3502"/>
      <c r="F5" s="3502" t="str">
        <f ca="1">结果表!F119</f>
        <v>贰亿零贰佰捌拾万元整</v>
      </c>
      <c r="G5" s="3502"/>
      <c r="H5" s="3502" t="str">
        <f ca="1">结果表!H119</f>
        <v>陆亿肆仟贰佰叁拾捌万元整</v>
      </c>
      <c r="I5" s="3502"/>
    </row>
    <row r="6" spans="1:9" ht="15.75">
      <c r="A6" s="3501" t="str">
        <f>结果表!A120</f>
        <v>估价师知悉的法定优先受偿款</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75">
      <c r="A8" s="3501" t="str">
        <f>结果表!A122</f>
        <v>房地产抵押价值</v>
      </c>
      <c r="B8" s="3501"/>
      <c r="C8" s="3501"/>
      <c r="D8" s="3501">
        <f ca="1">结果表!D122</f>
        <v>64238</v>
      </c>
      <c r="E8" s="3501"/>
      <c r="F8" s="3501"/>
      <c r="G8" s="3501"/>
      <c r="H8" s="3501"/>
      <c r="I8" s="3501"/>
    </row>
    <row r="9" spans="1:9" ht="15">
      <c r="A9" s="3502" t="s">
        <v>927</v>
      </c>
      <c r="B9" s="3502"/>
      <c r="C9" s="3502"/>
      <c r="D9" s="3502" t="str">
        <f ca="1">结果表!D123</f>
        <v>陆亿肆仟贰佰叁拾捌万元整</v>
      </c>
      <c r="E9" s="3502"/>
      <c r="F9" s="3502"/>
      <c r="G9" s="3502"/>
      <c r="H9" s="3502"/>
      <c r="I9" s="3502"/>
    </row>
    <row r="10" spans="1:9" ht="15.75">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75">
      <c r="A12" s="3501" t="str">
        <f>结果表!A126</f>
        <v/>
      </c>
      <c r="B12" s="3501"/>
      <c r="C12" s="3501"/>
      <c r="D12" s="3501" t="str">
        <f>结果表!D126</f>
        <v>——</v>
      </c>
      <c r="E12" s="3501"/>
      <c r="F12" s="3501"/>
      <c r="G12" s="3501"/>
      <c r="H12" s="3501"/>
      <c r="I12" s="3501"/>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14" t="s">
        <v>949</v>
      </c>
      <c r="B1" s="3514"/>
      <c r="C1" s="3514"/>
      <c r="D1" s="3514"/>
    </row>
    <row r="2" spans="1:4" ht="18">
      <c r="A2" s="3515" t="s">
        <v>933</v>
      </c>
      <c r="B2" s="3515"/>
      <c r="C2" s="3515"/>
      <c r="D2" s="3515"/>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15" t="s">
        <v>939</v>
      </c>
      <c r="B6" s="3515"/>
      <c r="C6" s="3515"/>
      <c r="D6" s="3515"/>
    </row>
    <row r="7" spans="1:4" ht="18.75">
      <c r="A7" s="1504" t="s">
        <v>934</v>
      </c>
      <c r="B7" s="1506" t="s">
        <v>940</v>
      </c>
      <c r="C7" s="1504" t="s">
        <v>936</v>
      </c>
      <c r="D7" s="1504" t="s">
        <v>937</v>
      </c>
    </row>
    <row r="8" spans="1:4" ht="56.25" customHeight="1">
      <c r="A8" s="1510" t="s">
        <v>390</v>
      </c>
      <c r="B8" s="1510" t="s">
        <v>0</v>
      </c>
      <c r="C8" s="1507"/>
      <c r="D8" s="1508" t="s">
        <v>938</v>
      </c>
    </row>
    <row r="9" spans="1:4">
      <c r="A9" s="673"/>
      <c r="B9" s="673"/>
      <c r="C9" s="673"/>
      <c r="D9" s="673"/>
    </row>
    <row r="10" spans="1:4" ht="18.75">
      <c r="A10" s="1511" t="s">
        <v>941</v>
      </c>
      <c r="B10" s="673"/>
      <c r="C10" s="673"/>
      <c r="D10" s="673"/>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2" t="s">
        <v>956</v>
      </c>
      <c r="B15" s="3517" t="s">
        <v>109</v>
      </c>
      <c r="C15" s="3518"/>
    </row>
    <row r="16" spans="1:7" ht="13.5">
      <c r="A16" s="3523"/>
      <c r="B16" s="3517" t="s">
        <v>42</v>
      </c>
      <c r="C16" s="3518"/>
    </row>
    <row r="17" spans="1:3" ht="13.5">
      <c r="A17" s="3523"/>
      <c r="B17" s="3520" t="s">
        <v>957</v>
      </c>
      <c r="C17" s="1527" t="s">
        <v>956</v>
      </c>
    </row>
    <row r="18" spans="1:3" ht="13.5">
      <c r="A18" s="3523"/>
      <c r="B18" s="3520"/>
      <c r="C18" s="1527" t="s">
        <v>958</v>
      </c>
    </row>
    <row r="19" spans="1:3" ht="13.5">
      <c r="A19" s="3523"/>
      <c r="B19" s="3520"/>
      <c r="C19" s="1527" t="s">
        <v>959</v>
      </c>
    </row>
    <row r="20" spans="1:3" ht="13.5">
      <c r="A20" s="3524"/>
      <c r="B20" s="3519" t="s">
        <v>960</v>
      </c>
      <c r="C20" s="3518"/>
    </row>
    <row r="21" spans="1:3" ht="13.5">
      <c r="A21" s="1528" t="s">
        <v>961</v>
      </c>
      <c r="B21" s="1529"/>
      <c r="C21" s="1530"/>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27" t="s">
        <v>967</v>
      </c>
    </row>
    <row r="26" spans="1:3" ht="13.5">
      <c r="A26" s="3521"/>
      <c r="B26" s="3520"/>
      <c r="C26" s="1527" t="s">
        <v>968</v>
      </c>
    </row>
    <row r="27" spans="1:3" ht="13.5">
      <c r="A27" s="3521"/>
      <c r="B27" s="3520"/>
      <c r="C27" s="1527" t="s">
        <v>969</v>
      </c>
    </row>
    <row r="28" spans="1:3" ht="13.5">
      <c r="A28" s="3521"/>
      <c r="B28" s="3520"/>
      <c r="C28" s="1527" t="s">
        <v>970</v>
      </c>
    </row>
    <row r="29" spans="1:3" ht="13.5">
      <c r="A29" s="3521"/>
      <c r="B29" s="3520"/>
      <c r="C29" s="1527" t="s">
        <v>971</v>
      </c>
    </row>
    <row r="30" spans="1:3" ht="13.5">
      <c r="A30" s="3521"/>
      <c r="B30" s="3520"/>
      <c r="C30" s="1527" t="s">
        <v>972</v>
      </c>
    </row>
    <row r="31" spans="1:3" ht="13.5">
      <c r="A31" s="3521"/>
      <c r="B31" s="3520"/>
      <c r="C31" s="1527" t="s">
        <v>973</v>
      </c>
    </row>
    <row r="32" spans="1:3" ht="13.5">
      <c r="A32" s="3521"/>
      <c r="B32" s="3520"/>
      <c r="C32" s="1527" t="s">
        <v>974</v>
      </c>
    </row>
    <row r="33" spans="1:3" ht="13.5">
      <c r="A33" s="3521"/>
      <c r="B33" s="3520"/>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45373</v>
      </c>
      <c r="C2" s="2335" t="s">
        <v>2137</v>
      </c>
      <c r="D2" s="2335"/>
      <c r="E2" s="2335"/>
      <c r="F2" s="2331"/>
      <c r="G2" s="2331"/>
      <c r="H2" s="2331"/>
    </row>
    <row r="3" spans="1:8" ht="24" customHeight="1">
      <c r="A3" s="2336" t="s">
        <v>2138</v>
      </c>
      <c r="B3" s="2337" t="s">
        <v>2139</v>
      </c>
      <c r="C3" s="2337" t="s">
        <v>2140</v>
      </c>
      <c r="D3" s="2338" t="s">
        <v>2141</v>
      </c>
      <c r="E3" s="2339" t="s">
        <v>2142</v>
      </c>
      <c r="F3" s="1299" t="s">
        <v>2143</v>
      </c>
      <c r="G3" s="2337" t="s">
        <v>2140</v>
      </c>
      <c r="H3" s="2338" t="s">
        <v>2144</v>
      </c>
    </row>
    <row r="4" spans="1:8" ht="24" customHeight="1">
      <c r="A4" s="1299" t="s">
        <v>2145</v>
      </c>
      <c r="B4" s="1299">
        <f ca="1">IF(C4&lt;B2,"已过期",1119970066)</f>
        <v>1119970066</v>
      </c>
      <c r="C4" s="2340">
        <v>45937</v>
      </c>
      <c r="D4" s="2341" t="str">
        <f ca="1">A4&amp;"（注册号："&amp;B4&amp;"）"</f>
        <v>梁津（注册号：1119970066）</v>
      </c>
      <c r="E4" s="2342" t="s">
        <v>2145</v>
      </c>
      <c r="F4" s="1299">
        <f ca="1">IF(G4&lt;B2,"已过期",96010014)</f>
        <v>96010014</v>
      </c>
      <c r="G4" s="2343">
        <v>47118</v>
      </c>
      <c r="H4" s="2344" t="str">
        <f ca="1">E4&amp;"（注册号："&amp;F4&amp;"）"</f>
        <v>梁津（注册号：96010014）</v>
      </c>
    </row>
    <row r="5" spans="1:8" ht="24" customHeight="1">
      <c r="A5" s="1299" t="s">
        <v>2146</v>
      </c>
      <c r="B5" s="1299">
        <f ca="1">IF(C5&lt;B2,"已过期",1119970111)</f>
        <v>1119970111</v>
      </c>
      <c r="C5" s="2340">
        <v>45937</v>
      </c>
      <c r="D5" s="2341" t="str">
        <f t="shared" ref="D5:D15" ca="1" si="0">A5&amp;"（注册号："&amp;B5&amp;"）"</f>
        <v>叶凌（注册号：1119970111）</v>
      </c>
      <c r="E5" s="2342" t="s">
        <v>2146</v>
      </c>
      <c r="F5" s="1299">
        <f ca="1">IF(G5&lt;B2,"已过期",94010078)</f>
        <v>94010078</v>
      </c>
      <c r="G5" s="2343">
        <v>46387</v>
      </c>
      <c r="H5" s="2344" t="str">
        <f t="shared" ref="H5:H16" ca="1" si="1">E5&amp;"（注册号："&amp;F5&amp;"）"</f>
        <v>叶凌（注册号：94010078）</v>
      </c>
    </row>
    <row r="6" spans="1:8" ht="24" customHeight="1">
      <c r="A6" s="1299" t="s">
        <v>2147</v>
      </c>
      <c r="B6" s="1299">
        <f ca="1">IF(C6&lt;B2,"已过期",1120050019)</f>
        <v>1120050019</v>
      </c>
      <c r="C6" s="2340">
        <v>45410</v>
      </c>
      <c r="D6" s="2341" t="str">
        <f t="shared" ca="1" si="0"/>
        <v>王鹏（注册号：1120050019）</v>
      </c>
      <c r="E6" s="2342" t="s">
        <v>2147</v>
      </c>
      <c r="F6" s="1299">
        <f ca="1">IF(G6&lt;B2,"已过期",2002110030)</f>
        <v>2002110030</v>
      </c>
      <c r="G6" s="2343">
        <v>46387</v>
      </c>
      <c r="H6" s="2344" t="str">
        <f t="shared" ca="1" si="1"/>
        <v>王鹏（注册号：2002110030）</v>
      </c>
    </row>
    <row r="7" spans="1:8" ht="24" customHeight="1">
      <c r="A7" s="1299" t="s">
        <v>2148</v>
      </c>
      <c r="B7" s="1299">
        <f ca="1">IF(C7&lt;B2,"已过期",1120000080)</f>
        <v>1120000080</v>
      </c>
      <c r="C7" s="2340">
        <v>45937</v>
      </c>
      <c r="D7" s="2341" t="str">
        <f t="shared" ca="1" si="0"/>
        <v>欧红伟（注册号：1120000080）</v>
      </c>
      <c r="E7" s="2342" t="s">
        <v>2148</v>
      </c>
      <c r="F7" s="1299">
        <f ca="1">IF(G7&lt;B2,"已过期",2000110082)</f>
        <v>2000110082</v>
      </c>
      <c r="G7" s="2343">
        <v>46387</v>
      </c>
      <c r="H7" s="2344" t="str">
        <f t="shared" ca="1" si="1"/>
        <v>欧红伟（注册号：2000110082）</v>
      </c>
    </row>
    <row r="8" spans="1:8" ht="24" customHeight="1">
      <c r="A8" s="1299" t="s">
        <v>2149</v>
      </c>
      <c r="B8" s="1299">
        <f ca="1">IF(C8&lt;B2,"已过期",1419970001)</f>
        <v>1419970001</v>
      </c>
      <c r="C8" s="2340">
        <v>45937</v>
      </c>
      <c r="D8" s="2341" t="str">
        <f t="shared" ca="1" si="0"/>
        <v>吴薇（注册号：1419970001）</v>
      </c>
      <c r="E8" s="2342" t="s">
        <v>2149</v>
      </c>
      <c r="F8" s="1299">
        <f ca="1">IF(G8&lt;B2,"已过期",2002110125)</f>
        <v>2002110125</v>
      </c>
      <c r="G8" s="2343">
        <v>47118</v>
      </c>
      <c r="H8" s="2344" t="str">
        <f t="shared" ca="1" si="1"/>
        <v>吴薇（注册号：2002110125）</v>
      </c>
    </row>
    <row r="9" spans="1:8" ht="24" customHeight="1">
      <c r="A9" s="1299" t="s">
        <v>2150</v>
      </c>
      <c r="B9" s="1299">
        <f ca="1">IF(C9&lt;B2,"已过期",1120060040)</f>
        <v>1120060040</v>
      </c>
      <c r="C9" s="2345">
        <v>45592</v>
      </c>
      <c r="D9" s="2341" t="str">
        <f t="shared" ca="1" si="0"/>
        <v>陈颖（注册号：1120060040）</v>
      </c>
      <c r="E9" s="2342" t="s">
        <v>2150</v>
      </c>
      <c r="F9" s="1299">
        <f ca="1">IF(G9&lt;B2,"已过期",2004110096)</f>
        <v>2004110096</v>
      </c>
      <c r="G9" s="2343">
        <v>47118</v>
      </c>
      <c r="H9" s="2344" t="str">
        <f t="shared" ca="1" si="1"/>
        <v>陈颖（注册号：2004110096）</v>
      </c>
    </row>
    <row r="10" spans="1:8" ht="24" customHeight="1">
      <c r="A10" s="1299" t="s">
        <v>2151</v>
      </c>
      <c r="B10" s="1299">
        <f ca="1">IF(C10&lt;B2,"已过期",1120100036)</f>
        <v>1120100036</v>
      </c>
      <c r="C10" s="2345">
        <v>45752</v>
      </c>
      <c r="D10" s="2341" t="str">
        <f t="shared" ca="1" si="0"/>
        <v>崔锴（注册号：1120100036）</v>
      </c>
      <c r="E10" s="2342" t="s">
        <v>2151</v>
      </c>
      <c r="F10" s="1299">
        <f ca="1">IF(G10&lt;B2,"已过期",2010110070)</f>
        <v>2010110070</v>
      </c>
      <c r="G10" s="2343">
        <v>47907</v>
      </c>
      <c r="H10" s="2344" t="str">
        <f t="shared" ca="1" si="1"/>
        <v>崔锴（注册号：2010110070）</v>
      </c>
    </row>
    <row r="11" spans="1:8" ht="24" customHeight="1">
      <c r="A11" s="1299" t="s">
        <v>2152</v>
      </c>
      <c r="B11" s="1299">
        <f ca="1">IF(C11&lt;B2,"已过期",1120070131)</f>
        <v>1120070131</v>
      </c>
      <c r="C11" s="2340">
        <v>45937</v>
      </c>
      <c r="D11" s="2341" t="str">
        <f t="shared" ca="1" si="0"/>
        <v>郑燚（注册号：1120070131）</v>
      </c>
      <c r="E11" s="2342" t="s">
        <v>2152</v>
      </c>
      <c r="F11" s="1299">
        <f ca="1">IF(G11&lt;B2,"已过期",2014110011)</f>
        <v>2014110011</v>
      </c>
      <c r="G11" s="2343">
        <v>49302</v>
      </c>
      <c r="H11" s="2344" t="str">
        <f t="shared" ca="1" si="1"/>
        <v>郑燚（注册号：2014110011）</v>
      </c>
    </row>
    <row r="12" spans="1:8" ht="24" customHeight="1">
      <c r="A12" s="1299" t="s">
        <v>2153</v>
      </c>
      <c r="B12" s="1299">
        <f ca="1">IF(C12&lt;B2,"已过期",1120040230)</f>
        <v>1120040230</v>
      </c>
      <c r="C12" s="2345">
        <v>45937</v>
      </c>
      <c r="D12" s="2341" t="str">
        <f t="shared" ca="1" si="0"/>
        <v>苏海（注册号：1120040230）</v>
      </c>
      <c r="E12" s="2342" t="s">
        <v>2153</v>
      </c>
      <c r="F12" s="1299">
        <f ca="1">IF(G12&lt;B2,"已过期",98030020)</f>
        <v>98030020</v>
      </c>
      <c r="G12" s="2343">
        <v>47118</v>
      </c>
      <c r="H12" s="2344" t="str">
        <f t="shared" ca="1" si="1"/>
        <v>苏海（注册号：98030020）</v>
      </c>
    </row>
    <row r="13" spans="1:8" ht="24" customHeight="1">
      <c r="A13" s="1299" t="s">
        <v>2154</v>
      </c>
      <c r="B13" s="1299">
        <f ca="1">IF(C13&lt;B2,"已过期",1120020033)</f>
        <v>1120020033</v>
      </c>
      <c r="C13" s="2340">
        <v>45375</v>
      </c>
      <c r="D13" s="2341" t="str">
        <f t="shared" ca="1" si="0"/>
        <v>刘敬东（注册号：1120020033）</v>
      </c>
      <c r="E13" s="2342" t="s">
        <v>2154</v>
      </c>
      <c r="F13" s="1299">
        <f ca="1">IF(G13&lt;B2,"已过期",2000110137)</f>
        <v>2000110137</v>
      </c>
      <c r="G13" s="2343">
        <v>46387</v>
      </c>
      <c r="H13" s="2344" t="str">
        <f t="shared" ca="1" si="1"/>
        <v>刘敬东（注册号：2000110137）</v>
      </c>
    </row>
    <row r="14" spans="1:8" ht="24" customHeight="1">
      <c r="A14" s="1299" t="s">
        <v>2155</v>
      </c>
      <c r="B14" s="1299" t="str">
        <f ca="1">IF(C14&lt;B2,"已过期",1119980106)</f>
        <v>已过期</v>
      </c>
      <c r="C14" s="2345">
        <v>44969</v>
      </c>
      <c r="D14" s="2341" t="str">
        <f t="shared" ca="1" si="0"/>
        <v>刘俊财（注册号：已过期）</v>
      </c>
      <c r="E14" s="2342" t="s">
        <v>2155</v>
      </c>
      <c r="F14" s="1299">
        <f ca="1">IF(G14&lt;B2,"已过期",96010063)</f>
        <v>96010063</v>
      </c>
      <c r="G14" s="2343">
        <v>47483</v>
      </c>
      <c r="H14" s="2344" t="str">
        <f t="shared" ca="1" si="1"/>
        <v>刘俊财（注册号：96010063）</v>
      </c>
    </row>
    <row r="15" spans="1:8" ht="24" customHeight="1">
      <c r="A15" s="1299" t="s">
        <v>2438</v>
      </c>
      <c r="B15" s="1299">
        <v>1120210056</v>
      </c>
      <c r="C15" s="2345">
        <v>45410</v>
      </c>
      <c r="D15" s="2341" t="str">
        <f t="shared" si="0"/>
        <v>宁小鳗（注册号：1120210056）</v>
      </c>
      <c r="E15" s="2342" t="s">
        <v>2156</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25" t="s">
        <v>2157</v>
      </c>
      <c r="B17" s="3525"/>
      <c r="C17" s="3525"/>
      <c r="D17" s="3525"/>
      <c r="E17" s="3525"/>
      <c r="F17" s="3525"/>
      <c r="G17" s="3525"/>
      <c r="H17" s="3525"/>
    </row>
    <row r="18" spans="1:8" ht="24" customHeight="1">
      <c r="A18" s="3526" t="s">
        <v>2158</v>
      </c>
      <c r="B18" s="3526"/>
      <c r="C18" s="3526"/>
      <c r="D18" s="2338"/>
      <c r="E18" s="3527" t="s">
        <v>2159</v>
      </c>
      <c r="F18" s="3526"/>
      <c r="G18" s="3526"/>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2439</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成本法</vt:lpstr>
      <vt:lpstr>成本法 (元)</vt:lpstr>
      <vt:lpstr>假设开发法</vt:lpstr>
      <vt:lpstr>收益法（汇总）</vt:lpstr>
      <vt:lpstr>收益法-办公</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2024-03-22T05:36:28Z</dcterms:modified>
</cp:coreProperties>
</file>