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K13" i="3"/>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J53" i="15"/>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C31" i="12" s="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s="1"/>
  <c r="B3" i="3" s="1"/>
  <c r="BA13" i="3"/>
  <c r="AZ13" i="3" s="1"/>
  <c r="AZ5" i="3" s="1"/>
  <c r="E10" i="6"/>
  <c r="BA5" i="3"/>
  <c r="E11" i="6"/>
  <c r="BL17" i="3"/>
  <c r="AZ17" i="3"/>
  <c r="BL13" i="3"/>
  <c r="G30" i="6"/>
  <c r="G31" i="6"/>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F59" i="43" s="1"/>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J58" i="21" s="1"/>
  <c r="K58" i="21" s="1"/>
  <c r="L58" i="21" s="1"/>
  <c r="M58" i="21" s="1"/>
  <c r="N58" i="21" s="1"/>
  <c r="O58" i="21" s="1"/>
  <c r="C7" i="40"/>
  <c r="C63" i="40"/>
  <c r="C65" i="40" s="1"/>
  <c r="M47" i="9"/>
  <c r="G19" i="43"/>
  <c r="M20" i="43" s="1"/>
  <c r="C19" i="43" s="1"/>
  <c r="T35" i="4"/>
  <c r="A19" i="51"/>
  <c r="B14" i="72" s="1"/>
  <c r="C46" i="36"/>
  <c r="D46" i="36" s="1"/>
  <c r="C59" i="34"/>
  <c r="D59" i="34" s="1"/>
  <c r="E59" i="34" s="1"/>
  <c r="C52" i="37"/>
  <c r="D52" i="37" s="1"/>
  <c r="E52" i="37" s="1"/>
  <c r="A4" i="51"/>
  <c r="B6" i="72"/>
  <c r="C48" i="35"/>
  <c r="D48" i="35" s="1"/>
  <c r="E48" i="35" s="1"/>
  <c r="F48" i="35" s="1"/>
  <c r="C94" i="9"/>
  <c r="C4" i="12"/>
  <c r="C92" i="9"/>
  <c r="H55" i="43"/>
  <c r="H51" i="43"/>
  <c r="H56" i="43"/>
  <c r="H76" i="43"/>
  <c r="H72" i="43"/>
  <c r="H77" i="43"/>
  <c r="L20" i="6"/>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F30" i="68"/>
  <c r="C30" i="68"/>
  <c r="F30" i="11"/>
  <c r="C48" i="11"/>
  <c r="F28" i="67"/>
  <c r="C28" i="67"/>
  <c r="F31" i="12"/>
  <c r="F52" i="9"/>
  <c r="M18" i="67"/>
  <c r="F32" i="67"/>
  <c r="F60" i="67"/>
  <c r="F30" i="69"/>
  <c r="C48" i="69"/>
  <c r="F32" i="15"/>
  <c r="F60" i="15"/>
  <c r="M18" i="15"/>
  <c r="F28" i="15"/>
  <c r="T11" i="1"/>
  <c r="D19" i="12"/>
  <c r="C19" i="12" s="1"/>
  <c r="AR11" i="1"/>
  <c r="C28" i="15"/>
  <c r="E30" i="6"/>
  <c r="K15" i="1"/>
  <c r="T13" i="1"/>
  <c r="C77" i="9"/>
  <c r="S7" i="1"/>
  <c r="AQ7" i="1" s="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BL5" i="3"/>
  <c r="J59" i="9"/>
  <c r="J61" i="9"/>
  <c r="S6" i="1"/>
  <c r="AQ6" i="1" s="1"/>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D63" i="40"/>
  <c r="E63" i="40" s="1"/>
  <c r="B5" i="62"/>
  <c r="B73" i="72"/>
  <c r="L27" i="6"/>
  <c r="AP7" i="1"/>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D65" i="40"/>
  <c r="C5" i="68"/>
  <c r="F1" i="67"/>
  <c r="Q52" i="67"/>
  <c r="AC11" i="37"/>
  <c r="W11" i="37"/>
  <c r="W11" i="34"/>
  <c r="AC11" i="34"/>
  <c r="R7" i="1"/>
  <c r="C13" i="12"/>
  <c r="F34" i="11"/>
  <c r="C36" i="11" s="1"/>
  <c r="F11" i="12"/>
  <c r="F34" i="68"/>
  <c r="C36" i="68" s="1"/>
  <c r="J7" i="21"/>
  <c r="AC7" i="21"/>
  <c r="V48" i="21" s="1"/>
  <c r="I48" i="21" s="1"/>
  <c r="I52" i="21" s="1"/>
  <c r="J52" i="21" s="1"/>
  <c r="F7" i="21"/>
  <c r="S7" i="21" s="1"/>
  <c r="H7" i="21"/>
  <c r="AB7" i="21" s="1"/>
  <c r="T48" i="21" s="1"/>
  <c r="G48" i="21" s="1"/>
  <c r="G52" i="21" s="1"/>
  <c r="H52" i="21" s="1"/>
  <c r="W7" i="21"/>
  <c r="AA7" i="21"/>
  <c r="R48" i="21" s="1"/>
  <c r="R8" i="1"/>
  <c r="R6" i="1"/>
  <c r="G53" i="21"/>
  <c r="H53" i="21" s="1"/>
  <c r="E2" i="70"/>
  <c r="AE7" i="1"/>
  <c r="AE8" i="1"/>
  <c r="AE6" i="1"/>
  <c r="AG6" i="1"/>
  <c r="J7" i="33"/>
  <c r="W7" i="33" s="1"/>
  <c r="F7" i="33"/>
  <c r="S7" i="33" s="1"/>
  <c r="H7" i="33"/>
  <c r="AB7" i="33" s="1"/>
  <c r="T48" i="33" s="1"/>
  <c r="G48" i="33" s="1"/>
  <c r="AA7" i="33"/>
  <c r="R48" i="33" s="1"/>
  <c r="H112" i="9"/>
  <c r="D21" i="53" s="1"/>
  <c r="B39" i="72" s="1"/>
  <c r="H111" i="9"/>
  <c r="D126" i="9"/>
  <c r="D19" i="53"/>
  <c r="D59" i="9"/>
  <c r="M55" i="9"/>
  <c r="B38" i="72"/>
  <c r="D20" i="53"/>
  <c r="B40" i="72" s="1"/>
  <c r="I14" i="74"/>
  <c r="B8" i="74" s="1"/>
  <c r="D127" i="9"/>
  <c r="D13" i="52" s="1"/>
  <c r="D12" i="52"/>
  <c r="AD3" i="71"/>
  <c r="P21" i="43"/>
  <c r="P22" i="43"/>
  <c r="P23" i="43"/>
  <c r="B71" i="39" s="1"/>
  <c r="P24" i="43"/>
  <c r="B66" i="40" s="1"/>
  <c r="P25" i="43"/>
  <c r="E14" i="49"/>
  <c r="B15" i="49"/>
  <c r="B6" i="49"/>
  <c r="B7" i="49"/>
  <c r="E10" i="49"/>
  <c r="E7" i="49"/>
  <c r="B4" i="62"/>
  <c r="B71" i="72"/>
  <c r="M24" i="67"/>
  <c r="L48" i="67"/>
  <c r="F26" i="15"/>
  <c r="M23" i="67"/>
  <c r="B7" i="76"/>
  <c r="M24" i="15"/>
  <c r="F7" i="67"/>
  <c r="C76" i="15"/>
  <c r="M8" i="67"/>
  <c r="AO7" i="1"/>
  <c r="M21" i="15"/>
  <c r="D2" i="35"/>
  <c r="F5" i="73"/>
  <c r="C76" i="67"/>
  <c r="F6" i="15"/>
  <c r="L47" i="67"/>
  <c r="M29" i="15"/>
  <c r="B13" i="76"/>
  <c r="AO10" i="1"/>
  <c r="F9" i="15"/>
  <c r="M8" i="15"/>
  <c r="M29" i="67"/>
  <c r="AO6" i="1"/>
  <c r="D34" i="9"/>
  <c r="D2" i="34"/>
  <c r="E10" i="76"/>
  <c r="F3" i="73"/>
  <c r="M22" i="15"/>
  <c r="F36" i="15"/>
  <c r="F16" i="15"/>
  <c r="E9" i="76"/>
  <c r="F6" i="67"/>
  <c r="M9" i="67"/>
  <c r="F13" i="15"/>
  <c r="M21" i="67"/>
  <c r="F20" i="31"/>
  <c r="E2" i="69"/>
  <c r="AO8" i="1"/>
  <c r="B10" i="76"/>
  <c r="AO13" i="1"/>
  <c r="F13" i="67"/>
  <c r="F40" i="15"/>
  <c r="M26" i="15"/>
  <c r="B8" i="76"/>
  <c r="F38" i="15"/>
  <c r="M9" i="15"/>
  <c r="F36" i="67"/>
  <c r="F41" i="15"/>
  <c r="D19" i="9"/>
  <c r="C20" i="9"/>
  <c r="D35" i="9"/>
  <c r="B12" i="76"/>
  <c r="AO9" i="1"/>
  <c r="F26" i="67"/>
  <c r="J15" i="67"/>
  <c r="M28" i="67"/>
  <c r="E13" i="76"/>
  <c r="F4" i="73"/>
  <c r="F8" i="67"/>
  <c r="M6" i="67"/>
  <c r="F37" i="67"/>
  <c r="E2" i="68"/>
  <c r="C19" i="9"/>
  <c r="E12" i="76"/>
  <c r="M26" i="67"/>
  <c r="L47" i="15"/>
  <c r="F40" i="67"/>
  <c r="E11" i="76"/>
  <c r="F6" i="73"/>
  <c r="M23" i="15"/>
  <c r="F43" i="67"/>
  <c r="L48" i="15"/>
  <c r="F35" i="15"/>
  <c r="D2" i="33"/>
  <c r="D2" i="21"/>
  <c r="D2" i="37"/>
  <c r="B9" i="76"/>
  <c r="AO12" i="1"/>
  <c r="M28" i="15"/>
  <c r="F8" i="15"/>
  <c r="F9" i="67"/>
  <c r="B11" i="76"/>
  <c r="AO11" i="1"/>
  <c r="F42" i="15"/>
  <c r="F16" i="67"/>
  <c r="F43" i="15"/>
  <c r="F41" i="67"/>
  <c r="D20" i="9"/>
  <c r="F35" i="67"/>
  <c r="E8" i="76"/>
  <c r="M6" i="15"/>
  <c r="F37" i="15"/>
  <c r="F38" i="67"/>
  <c r="E7" i="76"/>
  <c r="F7" i="73"/>
  <c r="F7" i="15"/>
  <c r="J15" i="15"/>
  <c r="M22" i="67"/>
  <c r="F42" i="67"/>
  <c r="D2" i="36"/>
  <c r="M27" i="15"/>
  <c r="M27" i="67"/>
  <c r="F31" i="15"/>
  <c r="E48" i="21" l="1"/>
  <c r="R49" i="21"/>
  <c r="F63" i="40"/>
  <c r="E65" i="40"/>
  <c r="J1" i="73"/>
  <c r="I53" i="21"/>
  <c r="J53" i="21" s="1"/>
  <c r="U7" i="21"/>
  <c r="H66" i="43"/>
  <c r="H65" i="43"/>
  <c r="H64" i="43"/>
  <c r="H63" i="43"/>
  <c r="H62" i="43"/>
  <c r="H61" i="43"/>
  <c r="H60" i="43"/>
  <c r="H59" i="43"/>
  <c r="H67" i="43"/>
  <c r="D5" i="43"/>
  <c r="H74" i="43"/>
  <c r="C5" i="43"/>
  <c r="H49" i="43"/>
  <c r="D23" i="67"/>
  <c r="C34" i="69"/>
  <c r="C38" i="69" s="1"/>
  <c r="Q16" i="1"/>
  <c r="F27" i="69" s="1"/>
  <c r="C47" i="69" s="1"/>
  <c r="D45" i="69" s="1"/>
  <c r="H16" i="1"/>
  <c r="F27" i="68"/>
  <c r="C29" i="68" s="1"/>
  <c r="D27" i="68" s="1"/>
  <c r="T7" i="1"/>
  <c r="D9" i="68"/>
  <c r="C9" i="68" s="1"/>
  <c r="D9" i="69"/>
  <c r="C9" i="69" s="1"/>
  <c r="E8" i="6"/>
  <c r="E12" i="6"/>
  <c r="AY6" i="3"/>
  <c r="E3" i="6"/>
  <c r="E69" i="3"/>
  <c r="E114" i="3"/>
  <c r="E278" i="3"/>
  <c r="E415" i="3"/>
  <c r="E563" i="3"/>
  <c r="E395"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237" i="3"/>
  <c r="E261" i="3"/>
  <c r="E304" i="3"/>
  <c r="E528" i="3"/>
  <c r="E565" i="3"/>
  <c r="E183" i="3"/>
  <c r="E213" i="3"/>
  <c r="E361" i="3"/>
  <c r="E17" i="3"/>
  <c r="E503" i="3"/>
  <c r="E302" i="3"/>
  <c r="E347" i="3"/>
  <c r="E583" i="3"/>
  <c r="AA6" i="3"/>
  <c r="X6" i="3"/>
  <c r="E399" i="3"/>
  <c r="E336" i="3"/>
  <c r="E280" i="3"/>
  <c r="E246" i="3"/>
  <c r="E124" i="3"/>
  <c r="E293" i="3"/>
  <c r="E311" i="3"/>
  <c r="E358" i="3"/>
  <c r="E514" i="3"/>
  <c r="E559" i="3"/>
  <c r="E570" i="3"/>
  <c r="E55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57" i="40"/>
  <c r="E62" i="39"/>
  <c r="E59" i="40"/>
  <c r="E13" i="6"/>
  <c r="C36" i="69"/>
  <c r="O11" i="1"/>
  <c r="M16" i="1"/>
  <c r="S16" i="1"/>
  <c r="F27" i="11"/>
  <c r="F28" i="12"/>
  <c r="C29" i="12" s="1"/>
  <c r="D28" i="12" s="1"/>
  <c r="T6" i="1"/>
  <c r="AR7" i="1"/>
  <c r="K16" i="1"/>
  <c r="AR6" i="1"/>
  <c r="E61" i="39"/>
  <c r="E56" i="40"/>
  <c r="E16"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P14" i="1"/>
  <c r="P11" i="1"/>
  <c r="O12" i="1"/>
  <c r="P12" i="1" s="1"/>
  <c r="O9" i="1"/>
  <c r="P9" i="1" s="1"/>
  <c r="E60" i="40"/>
  <c r="E65" i="39"/>
  <c r="O8" i="1"/>
  <c r="T9" i="1"/>
  <c r="T16" i="1" s="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G16" i="1"/>
  <c r="H10" i="39" s="1"/>
  <c r="G52" i="33"/>
  <c r="H52" i="33" s="1"/>
  <c r="E48" i="33"/>
  <c r="R49" i="33"/>
  <c r="U7" i="33"/>
  <c r="AC7" i="33"/>
  <c r="V48" i="33" s="1"/>
  <c r="I48" i="33" s="1"/>
  <c r="C48" i="21"/>
  <c r="C49" i="21"/>
  <c r="C70" i="39"/>
  <c r="D68" i="39"/>
  <c r="H10" i="40"/>
  <c r="G48" i="35"/>
  <c r="H48" i="35" s="1"/>
  <c r="I48" i="35" s="1"/>
  <c r="J48" i="35" s="1"/>
  <c r="K48" i="35" s="1"/>
  <c r="L48" i="35" s="1"/>
  <c r="M48" i="35" s="1"/>
  <c r="N48" i="35" s="1"/>
  <c r="O48" i="35" s="1"/>
  <c r="J7" i="35"/>
  <c r="F52" i="37"/>
  <c r="G52" i="37" s="1"/>
  <c r="H52" i="37" s="1"/>
  <c r="I52" i="37" s="1"/>
  <c r="J52" i="37" s="1"/>
  <c r="K52" i="37" s="1"/>
  <c r="L52" i="37" s="1"/>
  <c r="M52" i="37" s="1"/>
  <c r="N52" i="37" s="1"/>
  <c r="O52" i="37" s="1"/>
  <c r="F7" i="37"/>
  <c r="F59" i="34"/>
  <c r="H7" i="36"/>
  <c r="E46" i="36"/>
  <c r="F46" i="36" s="1"/>
  <c r="G46" i="36" s="1"/>
  <c r="H46" i="36" s="1"/>
  <c r="I46" i="36" s="1"/>
  <c r="J46" i="36" s="1"/>
  <c r="K46" i="36" s="1"/>
  <c r="L46" i="36" s="1"/>
  <c r="M46" i="36" s="1"/>
  <c r="N46" i="36" s="1"/>
  <c r="O46" i="36" s="1"/>
  <c r="J7" i="36"/>
  <c r="O19" i="43"/>
  <c r="C30" i="69"/>
  <c r="C74" i="9"/>
  <c r="C48" i="68"/>
  <c r="C23" i="12"/>
  <c r="C29" i="69"/>
  <c r="D27" i="69" s="1"/>
  <c r="R16" i="1"/>
  <c r="B13" i="49"/>
  <c r="B4" i="49"/>
  <c r="B9" i="49"/>
  <c r="E22" i="49"/>
  <c r="E16" i="49"/>
  <c r="E11" i="49"/>
  <c r="B10" i="49"/>
  <c r="E6" i="49"/>
  <c r="E8" i="49"/>
  <c r="E5" i="49"/>
  <c r="B8" i="49"/>
  <c r="B5" i="49"/>
  <c r="E21" i="49"/>
  <c r="E4" i="49"/>
  <c r="B11" i="49"/>
  <c r="B14" i="49"/>
  <c r="B16" i="49"/>
  <c r="E13" i="49"/>
  <c r="E15" i="49"/>
  <c r="E9" i="49"/>
  <c r="B22" i="49"/>
  <c r="C47" i="68"/>
  <c r="D45" i="68" s="1"/>
  <c r="C34" i="68"/>
  <c r="G20" i="9"/>
  <c r="C103" i="9"/>
  <c r="D102" i="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D22" i="9"/>
  <c r="C102" i="9"/>
  <c r="G19" i="9"/>
  <c r="J20" i="15"/>
  <c r="D103" i="9"/>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D6" i="73"/>
  <c r="D4" i="73"/>
  <c r="D7" i="73"/>
  <c r="D5" i="73"/>
  <c r="D3" i="73"/>
  <c r="C14" i="15"/>
  <c r="F31" i="67"/>
  <c r="M17" i="15"/>
  <c r="F59" i="67"/>
  <c r="C17" i="15"/>
  <c r="F59" i="15"/>
  <c r="C17" i="67"/>
  <c r="M17" i="67"/>
  <c r="C16" i="67"/>
  <c r="C14" i="67"/>
  <c r="C16" i="15"/>
  <c r="G1" i="73"/>
  <c r="E20" i="43" l="1"/>
  <c r="J7" i="37"/>
  <c r="F65" i="40"/>
  <c r="G63" i="40"/>
  <c r="E52" i="21"/>
  <c r="F52" i="21" s="1"/>
  <c r="E53" i="21"/>
  <c r="F53" i="21" s="1"/>
  <c r="C35" i="69"/>
  <c r="F27" i="6"/>
  <c r="E51" i="40"/>
  <c r="E56" i="39"/>
  <c r="O16" i="1"/>
  <c r="E58" i="40"/>
  <c r="E63" i="39"/>
  <c r="D3" i="21"/>
  <c r="B2" i="21" s="1"/>
  <c r="B3" i="21" s="1"/>
  <c r="E6" i="6"/>
  <c r="D37" i="11"/>
  <c r="C37" i="11" s="1"/>
  <c r="D14" i="12"/>
  <c r="M18" i="9"/>
  <c r="B118" i="9" s="1"/>
  <c r="B14" i="74" s="1"/>
  <c r="B1" i="74" s="1"/>
  <c r="C8" i="74" s="1"/>
  <c r="D3" i="34"/>
  <c r="D3" i="33"/>
  <c r="D19" i="11"/>
  <c r="C19" i="11" s="1"/>
  <c r="C17" i="4"/>
  <c r="B4" i="52" s="1"/>
  <c r="B43" i="72" s="1"/>
  <c r="L18" i="9"/>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221" i="3"/>
  <c r="AY376"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32" i="3"/>
  <c r="AY378" i="3"/>
  <c r="AY362"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5" i="15"/>
  <c r="C18" i="15"/>
  <c r="C29" i="11"/>
  <c r="D27" i="11" s="1"/>
  <c r="C47" i="11"/>
  <c r="D45" i="11" s="1"/>
  <c r="N16" i="1"/>
  <c r="C34" i="11"/>
  <c r="L16" i="1"/>
  <c r="AC6" i="3"/>
  <c r="E6" i="3" s="1"/>
  <c r="E66" i="39"/>
  <c r="P8" i="1"/>
  <c r="P16" i="1" s="1"/>
  <c r="C11" i="12" s="1"/>
  <c r="H107" i="43"/>
  <c r="H106" i="43"/>
  <c r="H105" i="43"/>
  <c r="H102" i="43"/>
  <c r="H104" i="43"/>
  <c r="H109" i="43"/>
  <c r="H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J10" i="39"/>
  <c r="AC10" i="39" s="1"/>
  <c r="F10" i="39"/>
  <c r="AA10" i="39" s="1"/>
  <c r="F10" i="40"/>
  <c r="AA10" i="40" s="1"/>
  <c r="J10" i="40"/>
  <c r="AC10" i="40" s="1"/>
  <c r="U10" i="39"/>
  <c r="AB10" i="39"/>
  <c r="F7" i="36"/>
  <c r="G59" i="34"/>
  <c r="H7" i="37"/>
  <c r="H7" i="35"/>
  <c r="S10" i="40"/>
  <c r="W10" i="40"/>
  <c r="D70" i="39"/>
  <c r="E68" i="39"/>
  <c r="I52" i="33"/>
  <c r="J52" i="33" s="1"/>
  <c r="I53" i="33"/>
  <c r="J53" i="33" s="1"/>
  <c r="C49" i="33"/>
  <c r="B2" i="33" s="1"/>
  <c r="B3" i="33" s="1"/>
  <c r="C48" i="33"/>
  <c r="G53" i="33"/>
  <c r="H53" i="33" s="1"/>
  <c r="AC7" i="36"/>
  <c r="V36" i="36" s="1"/>
  <c r="I36" i="36" s="1"/>
  <c r="W7" i="36"/>
  <c r="U7" i="36"/>
  <c r="AB7" i="36"/>
  <c r="T36" i="36" s="1"/>
  <c r="G36" i="36" s="1"/>
  <c r="AA7" i="37"/>
  <c r="R42" i="37" s="1"/>
  <c r="S7" i="37"/>
  <c r="W7" i="37"/>
  <c r="AC7" i="37"/>
  <c r="V42" i="37" s="1"/>
  <c r="I42" i="37" s="1"/>
  <c r="W7" i="35"/>
  <c r="AC7" i="35"/>
  <c r="V38" i="35" s="1"/>
  <c r="I38" i="35" s="1"/>
  <c r="F7" i="35"/>
  <c r="W10" i="39"/>
  <c r="AB10" i="40"/>
  <c r="U10" i="40"/>
  <c r="E53" i="33"/>
  <c r="F53" i="33" s="1"/>
  <c r="E52" i="33"/>
  <c r="F52" i="33" s="1"/>
  <c r="C49" i="67"/>
  <c r="C49" i="15"/>
  <c r="C38" i="68"/>
  <c r="C35" i="68"/>
  <c r="B40" i="1"/>
  <c r="C19" i="15"/>
  <c r="C18" i="67"/>
  <c r="C15" i="67"/>
  <c r="M11" i="15"/>
  <c r="J10" i="15" s="1"/>
  <c r="J5" i="15" s="1"/>
  <c r="F11" i="67"/>
  <c r="F11" i="15"/>
  <c r="M11" i="67"/>
  <c r="J10" i="67" s="1"/>
  <c r="J5" i="67" s="1"/>
  <c r="C32" i="9"/>
  <c r="Q73" i="67"/>
  <c r="Q60" i="67"/>
  <c r="B2" i="70"/>
  <c r="B3" i="70" s="1"/>
  <c r="P17" i="43"/>
  <c r="M17" i="43"/>
  <c r="N17" i="43"/>
  <c r="G20" i="43" s="1"/>
  <c r="O17" i="43"/>
  <c r="Q60" i="15"/>
  <c r="Q73" i="15"/>
  <c r="Q74" i="15"/>
  <c r="Q61" i="15"/>
  <c r="Q61" i="67"/>
  <c r="Q74" i="67"/>
  <c r="G65" i="40" l="1"/>
  <c r="H63" i="40"/>
  <c r="E41" i="43"/>
  <c r="C41" i="43" s="1"/>
  <c r="C20" i="43"/>
  <c r="F31" i="6"/>
  <c r="E27" i="6"/>
  <c r="M19" i="9"/>
  <c r="C118" i="9" s="1"/>
  <c r="C14" i="74" s="1"/>
  <c r="B2" i="74" s="1"/>
  <c r="D8" i="74" s="1"/>
  <c r="D25" i="6"/>
  <c r="D15" i="6"/>
  <c r="D22" i="6"/>
  <c r="D21" i="6"/>
  <c r="D24" i="6"/>
  <c r="D20" i="6"/>
  <c r="D5" i="6"/>
  <c r="D12" i="6"/>
  <c r="D11" i="6"/>
  <c r="D13" i="6"/>
  <c r="D28" i="6"/>
  <c r="D30" i="6" s="1"/>
  <c r="E61" i="40"/>
  <c r="D6" i="6"/>
  <c r="D9" i="6"/>
  <c r="D10" i="6"/>
  <c r="L19" i="9"/>
  <c r="D29" i="6"/>
  <c r="D19" i="6"/>
  <c r="D26" i="6"/>
  <c r="C18" i="4"/>
  <c r="D8" i="6"/>
  <c r="D16" i="6" s="1"/>
  <c r="D23" i="6"/>
  <c r="D14" i="6"/>
  <c r="C20" i="11"/>
  <c r="C28" i="11" s="1"/>
  <c r="C27" i="11" s="1"/>
  <c r="D17" i="12"/>
  <c r="C17" i="12" s="1"/>
  <c r="C14" i="12"/>
  <c r="D10" i="68"/>
  <c r="D10" i="69"/>
  <c r="D10" i="11"/>
  <c r="C10" i="11" s="1"/>
  <c r="D20" i="12"/>
  <c r="C20" i="12" s="1"/>
  <c r="C18" i="12" s="1"/>
  <c r="S10" i="39"/>
  <c r="C35" i="11"/>
  <c r="C38" i="11"/>
  <c r="F50" i="69"/>
  <c r="F50" i="68"/>
  <c r="F50" i="11"/>
  <c r="C15" i="12"/>
  <c r="C12" i="12"/>
  <c r="S4" i="43"/>
  <c r="T4" i="43" s="1"/>
  <c r="V4" i="43" s="1"/>
  <c r="S5" i="43"/>
  <c r="S3" i="43"/>
  <c r="T3" i="43" s="1"/>
  <c r="V3" i="43" s="1"/>
  <c r="C23" i="43"/>
  <c r="C21" i="43" s="1"/>
  <c r="S7" i="43"/>
  <c r="T7" i="43" s="1"/>
  <c r="V7" i="43" s="1"/>
  <c r="S2" i="43"/>
  <c r="S6" i="43"/>
  <c r="T6" i="43" s="1"/>
  <c r="V6" i="43" s="1"/>
  <c r="C115" i="43"/>
  <c r="D113" i="43" s="1"/>
  <c r="AA7" i="35"/>
  <c r="R38" i="35" s="1"/>
  <c r="S7" i="35"/>
  <c r="R43" i="37"/>
  <c r="E42" i="37"/>
  <c r="I40" i="36"/>
  <c r="J40" i="36" s="1"/>
  <c r="I42" i="35"/>
  <c r="J42" i="35" s="1"/>
  <c r="I47" i="37"/>
  <c r="J47" i="37" s="1"/>
  <c r="I46" i="37"/>
  <c r="J46" i="37" s="1"/>
  <c r="G40" i="36"/>
  <c r="H40" i="36" s="1"/>
  <c r="G41" i="36"/>
  <c r="H41" i="36" s="1"/>
  <c r="F68" i="39"/>
  <c r="E70" i="39"/>
  <c r="U7" i="35"/>
  <c r="AB7" i="35"/>
  <c r="T38" i="35" s="1"/>
  <c r="G38" i="35" s="1"/>
  <c r="H59" i="34"/>
  <c r="U7" i="37"/>
  <c r="AB7" i="37"/>
  <c r="T42" i="37" s="1"/>
  <c r="G42" i="37" s="1"/>
  <c r="S7" i="36"/>
  <c r="AA7" i="36"/>
  <c r="R36" i="36" s="1"/>
  <c r="C19" i="67"/>
  <c r="C20" i="67" s="1"/>
  <c r="C26" i="67" s="1"/>
  <c r="J24" i="67"/>
  <c r="J26" i="67"/>
  <c r="J29" i="67" s="1"/>
  <c r="J18" i="67"/>
  <c r="C35" i="9"/>
  <c r="F118" i="9" s="1"/>
  <c r="H118" i="9"/>
  <c r="C53" i="67"/>
  <c r="C48" i="67" s="1"/>
  <c r="C10" i="67"/>
  <c r="C5" i="67" s="1"/>
  <c r="C20" i="15"/>
  <c r="C26" i="15" s="1"/>
  <c r="J24" i="15"/>
  <c r="J18" i="15"/>
  <c r="J26" i="15"/>
  <c r="J29" i="15" s="1"/>
  <c r="C53" i="15"/>
  <c r="C48" i="15" s="1"/>
  <c r="C10" i="15"/>
  <c r="C5" i="15" s="1"/>
  <c r="F24" i="67"/>
  <c r="C24" i="67" s="1"/>
  <c r="F22" i="68"/>
  <c r="F22" i="11"/>
  <c r="F22" i="69"/>
  <c r="F25" i="12"/>
  <c r="F24" i="15"/>
  <c r="C24" i="15" s="1"/>
  <c r="H65" i="40" l="1"/>
  <c r="I63" i="40"/>
  <c r="T2" i="43"/>
  <c r="V2" i="43" s="1"/>
  <c r="T5" i="43"/>
  <c r="V5" i="43" s="1"/>
  <c r="C35" i="43"/>
  <c r="T16" i="43"/>
  <c r="V16" i="43" s="1"/>
  <c r="T12" i="43"/>
  <c r="V12" i="43" s="1"/>
  <c r="T8" i="43"/>
  <c r="V8" i="43" s="1"/>
  <c r="T13" i="43"/>
  <c r="V13" i="43" s="1"/>
  <c r="C36" i="43"/>
  <c r="C33" i="43"/>
  <c r="C37" i="43"/>
  <c r="T11" i="43"/>
  <c r="V11" i="43" s="1"/>
  <c r="T14" i="43"/>
  <c r="V14" i="43" s="1"/>
  <c r="T9" i="43"/>
  <c r="V9" i="43" s="1"/>
  <c r="T15" i="43"/>
  <c r="V15" i="43" s="1"/>
  <c r="T10" i="43"/>
  <c r="V10" i="43" s="1"/>
  <c r="C34" i="43"/>
  <c r="C38" i="43"/>
  <c r="C39" i="43"/>
  <c r="C16" i="12"/>
  <c r="C21" i="12" s="1"/>
  <c r="C22" i="12" s="1"/>
  <c r="C30" i="12" s="1"/>
  <c r="C28" i="12" s="1"/>
  <c r="K20" i="6"/>
  <c r="M20" i="6" s="1"/>
  <c r="I20" i="6" s="1"/>
  <c r="K26" i="6"/>
  <c r="M26" i="6" s="1"/>
  <c r="I26" i="6" s="1"/>
  <c r="K19" i="6"/>
  <c r="K25" i="6"/>
  <c r="M25" i="6" s="1"/>
  <c r="I25" i="6" s="1"/>
  <c r="K24" i="6"/>
  <c r="M24" i="6" s="1"/>
  <c r="I24" i="6" s="1"/>
  <c r="K22" i="6"/>
  <c r="M22" i="6" s="1"/>
  <c r="I22" i="6" s="1"/>
  <c r="K23" i="6"/>
  <c r="M23" i="6" s="1"/>
  <c r="I23" i="6" s="1"/>
  <c r="K21" i="6"/>
  <c r="M21" i="6" s="1"/>
  <c r="I21" i="6" s="1"/>
  <c r="E31" i="6"/>
  <c r="C33" i="11"/>
  <c r="C10" i="68"/>
  <c r="D19" i="68"/>
  <c r="C10" i="69"/>
  <c r="C8" i="69" s="1"/>
  <c r="C5" i="69" s="1"/>
  <c r="C23" i="69" s="1"/>
  <c r="D19" i="69"/>
  <c r="A7" i="51"/>
  <c r="B7" i="72" s="1"/>
  <c r="C4" i="52"/>
  <c r="B45" i="72" s="1"/>
  <c r="A10" i="51"/>
  <c r="B9" i="72" s="1"/>
  <c r="D27" i="6"/>
  <c r="D31" i="6" s="1"/>
  <c r="D21" i="9"/>
  <c r="C21" i="9"/>
  <c r="G21" i="9"/>
  <c r="C39" i="11"/>
  <c r="C46" i="11" s="1"/>
  <c r="C45" i="11" s="1"/>
  <c r="C29" i="43"/>
  <c r="G42" i="35"/>
  <c r="H42" i="35" s="1"/>
  <c r="G43" i="35"/>
  <c r="H43" i="35" s="1"/>
  <c r="E46" i="37"/>
  <c r="F46" i="37" s="1"/>
  <c r="E47" i="37"/>
  <c r="F47" i="37" s="1"/>
  <c r="E36" i="36"/>
  <c r="R37" i="36"/>
  <c r="G46" i="37"/>
  <c r="H46" i="37" s="1"/>
  <c r="G47" i="37"/>
  <c r="H47" i="37" s="1"/>
  <c r="I59" i="34"/>
  <c r="G68" i="39"/>
  <c r="F70" i="39"/>
  <c r="C42" i="37"/>
  <c r="C43" i="37"/>
  <c r="B2" i="37" s="1"/>
  <c r="B3" i="37" s="1"/>
  <c r="R39" i="35"/>
  <c r="E38" i="35"/>
  <c r="C34" i="9"/>
  <c r="D118" i="9" s="1"/>
  <c r="D119" i="9" s="1"/>
  <c r="D5" i="52" s="1"/>
  <c r="B49" i="72" s="1"/>
  <c r="C23" i="68"/>
  <c r="C26" i="68"/>
  <c r="D22" i="68" s="1"/>
  <c r="C44" i="68"/>
  <c r="D41" i="68" s="1"/>
  <c r="C38" i="15"/>
  <c r="C32" i="15"/>
  <c r="C26" i="12"/>
  <c r="D25" i="12" s="1"/>
  <c r="C27" i="12"/>
  <c r="C25" i="12" s="1"/>
  <c r="C42" i="11"/>
  <c r="C44" i="11"/>
  <c r="D41" i="11" s="1"/>
  <c r="C23" i="11"/>
  <c r="C26" i="11"/>
  <c r="D22" i="11" s="1"/>
  <c r="C24" i="11"/>
  <c r="C25" i="11"/>
  <c r="C23" i="67"/>
  <c r="C29" i="67" s="1"/>
  <c r="C66" i="15"/>
  <c r="C60" i="15"/>
  <c r="C60" i="67"/>
  <c r="C66" i="67"/>
  <c r="I118" i="9"/>
  <c r="D14" i="74"/>
  <c r="H101" i="9"/>
  <c r="H109" i="9" s="1"/>
  <c r="H119" i="9"/>
  <c r="H5" i="52" s="1"/>
  <c r="H4" i="52"/>
  <c r="C104" i="9"/>
  <c r="C44" i="69"/>
  <c r="D41" i="69" s="1"/>
  <c r="C26" i="69"/>
  <c r="D22" i="69" s="1"/>
  <c r="C23" i="15"/>
  <c r="C29" i="15" s="1"/>
  <c r="C38" i="67"/>
  <c r="C32" i="67"/>
  <c r="D4" i="52"/>
  <c r="B47" i="72" s="1"/>
  <c r="F4" i="52"/>
  <c r="B51" i="72" s="1"/>
  <c r="F119" i="9"/>
  <c r="F5" i="52" s="1"/>
  <c r="B53" i="72" s="1"/>
  <c r="G118" i="9"/>
  <c r="G4" i="52" s="1"/>
  <c r="B52" i="72" s="1"/>
  <c r="I65" i="40" l="1"/>
  <c r="J63" i="40"/>
  <c r="E39" i="43"/>
  <c r="G39" i="43"/>
  <c r="I39" i="43" s="1"/>
  <c r="E34" i="43"/>
  <c r="G34" i="43"/>
  <c r="I34" i="43" s="1"/>
  <c r="E37" i="43"/>
  <c r="G37" i="43"/>
  <c r="I37" i="43" s="1"/>
  <c r="E36" i="43"/>
  <c r="G36" i="43"/>
  <c r="I36" i="43" s="1"/>
  <c r="E38" i="43"/>
  <c r="G38" i="43"/>
  <c r="I38" i="43" s="1"/>
  <c r="G33" i="43"/>
  <c r="I33" i="43" s="1"/>
  <c r="E33" i="43"/>
  <c r="E35" i="43"/>
  <c r="G35" i="43"/>
  <c r="I35" i="43" s="1"/>
  <c r="S21" i="6"/>
  <c r="H21" i="6"/>
  <c r="R21" i="6" s="1"/>
  <c r="S22" i="6"/>
  <c r="H22" i="6"/>
  <c r="R22" i="6" s="1"/>
  <c r="S25" i="6"/>
  <c r="H25" i="6"/>
  <c r="R25" i="6" s="1"/>
  <c r="S26" i="6"/>
  <c r="H26" i="6"/>
  <c r="R26" i="6" s="1"/>
  <c r="S23" i="6"/>
  <c r="H23" i="6"/>
  <c r="R23" i="6" s="1"/>
  <c r="S24" i="6"/>
  <c r="H24" i="6"/>
  <c r="R24" i="6" s="1"/>
  <c r="M19" i="6"/>
  <c r="K27" i="6"/>
  <c r="S20" i="6"/>
  <c r="H20" i="6"/>
  <c r="R20" i="6" s="1"/>
  <c r="C43" i="11"/>
  <c r="I6" i="6"/>
  <c r="I5" i="6"/>
  <c r="C19" i="69"/>
  <c r="C24" i="69" s="1"/>
  <c r="D37" i="69"/>
  <c r="C37" i="69" s="1"/>
  <c r="C33" i="69" s="1"/>
  <c r="C19" i="68"/>
  <c r="D37" i="68"/>
  <c r="C37" i="68" s="1"/>
  <c r="C33" i="68" s="1"/>
  <c r="C30" i="43"/>
  <c r="E30" i="43" s="1"/>
  <c r="C27" i="43" s="1"/>
  <c r="E29" i="43"/>
  <c r="M49" i="9"/>
  <c r="D124" i="9"/>
  <c r="H110" i="9"/>
  <c r="D18" i="53" s="1"/>
  <c r="B35" i="72" s="1"/>
  <c r="D16" i="53"/>
  <c r="C38" i="35"/>
  <c r="C39" i="35"/>
  <c r="B2" i="35" s="1"/>
  <c r="B3" i="35" s="1"/>
  <c r="C36" i="36"/>
  <c r="C37" i="36"/>
  <c r="B2" i="36" s="1"/>
  <c r="B3" i="36" s="1"/>
  <c r="H68" i="39"/>
  <c r="G70" i="39"/>
  <c r="E42" i="35"/>
  <c r="F42" i="35" s="1"/>
  <c r="E43" i="35"/>
  <c r="F43" i="35" s="1"/>
  <c r="I43" i="35"/>
  <c r="J43" i="35" s="1"/>
  <c r="J59" i="34"/>
  <c r="E40" i="36"/>
  <c r="F40" i="36" s="1"/>
  <c r="E41" i="36"/>
  <c r="F41" i="36" s="1"/>
  <c r="I41" i="36"/>
  <c r="J41" i="36" s="1"/>
  <c r="C32" i="12"/>
  <c r="B2" i="12" s="1"/>
  <c r="B3" i="12" s="1"/>
  <c r="J19" i="15"/>
  <c r="J17" i="15" s="1"/>
  <c r="Q49" i="15"/>
  <c r="C33" i="15"/>
  <c r="C36" i="15"/>
  <c r="C57" i="15"/>
  <c r="J14" i="15"/>
  <c r="C13" i="15"/>
  <c r="J59" i="15"/>
  <c r="J60" i="15" s="1"/>
  <c r="D45" i="9"/>
  <c r="H107" i="9"/>
  <c r="M48" i="9"/>
  <c r="D5" i="53"/>
  <c r="I4" i="52"/>
  <c r="C105" i="9"/>
  <c r="E118" i="9"/>
  <c r="E4" i="52" s="1"/>
  <c r="B48" i="72" s="1"/>
  <c r="H102" i="9"/>
  <c r="D7" i="53" s="1"/>
  <c r="B21" i="72" s="1"/>
  <c r="C22" i="11"/>
  <c r="C31" i="11" s="1"/>
  <c r="C41" i="11"/>
  <c r="C49" i="11" s="1"/>
  <c r="C51" i="11" s="1"/>
  <c r="C31" i="15"/>
  <c r="E14" i="74"/>
  <c r="B5" i="74"/>
  <c r="F14" i="74"/>
  <c r="C33" i="67"/>
  <c r="C31" i="67" s="1"/>
  <c r="J14" i="67"/>
  <c r="C57" i="67"/>
  <c r="C13" i="67"/>
  <c r="J19" i="67"/>
  <c r="J17" i="67" s="1"/>
  <c r="Q49" i="67"/>
  <c r="C36" i="67"/>
  <c r="J59" i="67"/>
  <c r="J60" i="67" s="1"/>
  <c r="K63" i="40" l="1"/>
  <c r="J65" i="40"/>
  <c r="C26" i="43"/>
  <c r="M27" i="6"/>
  <c r="I19" i="6"/>
  <c r="C20" i="68"/>
  <c r="C24" i="68"/>
  <c r="C39" i="68"/>
  <c r="C43" i="68" s="1"/>
  <c r="C42" i="68"/>
  <c r="C41" i="68" s="1"/>
  <c r="C39" i="69"/>
  <c r="C42" i="69"/>
  <c r="C20" i="69"/>
  <c r="C25" i="69" s="1"/>
  <c r="C22" i="69" s="1"/>
  <c r="B2" i="43"/>
  <c r="B34" i="72"/>
  <c r="D17" i="53"/>
  <c r="B36" i="72" s="1"/>
  <c r="D10" i="52"/>
  <c r="D125" i="9"/>
  <c r="D11" i="52" s="1"/>
  <c r="H14" i="74"/>
  <c r="B7" i="74" s="1"/>
  <c r="L68" i="9"/>
  <c r="M68" i="9" s="1"/>
  <c r="L65" i="9"/>
  <c r="M65" i="9" s="1"/>
  <c r="L66" i="9"/>
  <c r="M66" i="9" s="1"/>
  <c r="L64" i="9"/>
  <c r="M64" i="9" s="1"/>
  <c r="L63" i="9"/>
  <c r="M63" i="9" s="1"/>
  <c r="M69" i="9" s="1"/>
  <c r="N69" i="9" s="1"/>
  <c r="L67" i="9"/>
  <c r="M67" i="9" s="1"/>
  <c r="K59" i="34"/>
  <c r="L59" i="34" s="1"/>
  <c r="M59" i="34" s="1"/>
  <c r="N59" i="34" s="1"/>
  <c r="O59" i="34" s="1"/>
  <c r="F7" i="34"/>
  <c r="H7" i="34"/>
  <c r="J7" i="34"/>
  <c r="I68" i="39"/>
  <c r="H70" i="39"/>
  <c r="C52" i="11"/>
  <c r="B2" i="11" s="1"/>
  <c r="B3" i="11" s="1"/>
  <c r="D5" i="74"/>
  <c r="C5" i="74"/>
  <c r="Q48" i="67"/>
  <c r="C75" i="67"/>
  <c r="C37" i="67"/>
  <c r="C30" i="67" s="1"/>
  <c r="C39" i="67" s="1"/>
  <c r="Q70" i="67"/>
  <c r="C56" i="67"/>
  <c r="C65" i="67" s="1"/>
  <c r="J13" i="67"/>
  <c r="J23" i="67" s="1"/>
  <c r="J22" i="67"/>
  <c r="B20" i="72"/>
  <c r="D6" i="53"/>
  <c r="B22" i="72" s="1"/>
  <c r="H108" i="9"/>
  <c r="D15" i="53" s="1"/>
  <c r="B31" i="72" s="1"/>
  <c r="D13" i="53"/>
  <c r="D122" i="9"/>
  <c r="Q48" i="15"/>
  <c r="J13" i="15"/>
  <c r="J23" i="15" s="1"/>
  <c r="J22" i="15"/>
  <c r="C61" i="67"/>
  <c r="C59" i="67" s="1"/>
  <c r="C64" i="67"/>
  <c r="D55" i="9"/>
  <c r="M53" i="9" s="1"/>
  <c r="C64" i="9"/>
  <c r="C63" i="9" s="1"/>
  <c r="C67" i="9" s="1"/>
  <c r="C68" i="9" s="1"/>
  <c r="D54" i="9" s="1"/>
  <c r="C93" i="9"/>
  <c r="C86" i="9" s="1"/>
  <c r="D52" i="9"/>
  <c r="C78" i="9"/>
  <c r="C73" i="9" s="1"/>
  <c r="C85" i="9"/>
  <c r="D53" i="9"/>
  <c r="C72" i="9"/>
  <c r="Q70" i="15"/>
  <c r="C56" i="15"/>
  <c r="C65" i="15" s="1"/>
  <c r="C37" i="15"/>
  <c r="C30" i="15" s="1"/>
  <c r="C39" i="15" s="1"/>
  <c r="C75" i="15"/>
  <c r="C61" i="15"/>
  <c r="C59" i="15" s="1"/>
  <c r="C64" i="15"/>
  <c r="E6" i="76"/>
  <c r="B6" i="76"/>
  <c r="K65" i="40" l="1"/>
  <c r="L63" i="40"/>
  <c r="E2" i="76"/>
  <c r="C46" i="68"/>
  <c r="C45" i="68" s="1"/>
  <c r="C49" i="68" s="1"/>
  <c r="C51" i="68" s="1"/>
  <c r="C56" i="11"/>
  <c r="C57" i="11" s="1"/>
  <c r="S19" i="6"/>
  <c r="S27" i="6" s="1"/>
  <c r="I27" i="6"/>
  <c r="H19" i="6"/>
  <c r="C28" i="69"/>
  <c r="C27" i="69" s="1"/>
  <c r="C31" i="69" s="1"/>
  <c r="C28" i="68"/>
  <c r="C27" i="68" s="1"/>
  <c r="C25" i="68"/>
  <c r="C22" i="68" s="1"/>
  <c r="C46" i="69"/>
  <c r="C45" i="69" s="1"/>
  <c r="C43" i="69"/>
  <c r="C41" i="69" s="1"/>
  <c r="B2" i="76"/>
  <c r="B3" i="76" s="1"/>
  <c r="B3" i="43"/>
  <c r="D7" i="74"/>
  <c r="C7" i="74"/>
  <c r="W7" i="34"/>
  <c r="AC7" i="34"/>
  <c r="V49" i="34" s="1"/>
  <c r="I49" i="34" s="1"/>
  <c r="J68" i="39"/>
  <c r="I70" i="39"/>
  <c r="U7" i="34"/>
  <c r="AB7" i="34"/>
  <c r="T49" i="34" s="1"/>
  <c r="G49" i="34" s="1"/>
  <c r="S7" i="34"/>
  <c r="AA7" i="34"/>
  <c r="R49" i="34" s="1"/>
  <c r="J16" i="67"/>
  <c r="J25" i="67" s="1"/>
  <c r="J16" i="15"/>
  <c r="J25" i="15" s="1"/>
  <c r="Q69" i="15"/>
  <c r="Q68" i="15" s="1"/>
  <c r="C40" i="15"/>
  <c r="C40" i="67"/>
  <c r="Q69" i="67"/>
  <c r="Q68" i="67" s="1"/>
  <c r="C58" i="15"/>
  <c r="C67" i="15" s="1"/>
  <c r="C68" i="15" s="1"/>
  <c r="C79" i="9"/>
  <c r="C95" i="9"/>
  <c r="C58" i="67"/>
  <c r="C67" i="67" s="1"/>
  <c r="C68" i="67" s="1"/>
  <c r="D14" i="53"/>
  <c r="B32" i="72" s="1"/>
  <c r="B30" i="72"/>
  <c r="C80" i="67"/>
  <c r="C79" i="67" s="1"/>
  <c r="C80" i="15"/>
  <c r="C79" i="15" s="1"/>
  <c r="G14" i="74"/>
  <c r="B6" i="74" s="1"/>
  <c r="D123" i="9"/>
  <c r="D9" i="52" s="1"/>
  <c r="D8" i="52"/>
  <c r="L51" i="15"/>
  <c r="L51" i="67"/>
  <c r="M63" i="40" l="1"/>
  <c r="L65" i="40"/>
  <c r="C31" i="68"/>
  <c r="C52" i="68" s="1"/>
  <c r="C49" i="69"/>
  <c r="C51" i="69" s="1"/>
  <c r="C52" i="69" s="1"/>
  <c r="B2" i="69" s="1"/>
  <c r="B3" i="69" s="1"/>
  <c r="H27" i="6"/>
  <c r="R19" i="6"/>
  <c r="R27" i="6" s="1"/>
  <c r="B2" i="68"/>
  <c r="B3" i="68" s="1"/>
  <c r="C57" i="68"/>
  <c r="C56" i="68" s="1"/>
  <c r="G53" i="34"/>
  <c r="H53" i="34" s="1"/>
  <c r="G54" i="34"/>
  <c r="H54" i="34" s="1"/>
  <c r="I53" i="34"/>
  <c r="J53" i="34" s="1"/>
  <c r="R50" i="34"/>
  <c r="E49" i="34"/>
  <c r="K68" i="39"/>
  <c r="J70" i="39"/>
  <c r="Q67" i="67"/>
  <c r="L57" i="67"/>
  <c r="L60" i="67" s="1"/>
  <c r="L46" i="67" s="1"/>
  <c r="D2" i="67" s="1"/>
  <c r="Q67" i="15"/>
  <c r="L57" i="15"/>
  <c r="L60" i="15" s="1"/>
  <c r="L46" i="15" s="1"/>
  <c r="C6" i="74"/>
  <c r="D6" i="74"/>
  <c r="C71" i="67"/>
  <c r="C45" i="67"/>
  <c r="C46" i="67" s="1"/>
  <c r="C81" i="9"/>
  <c r="C80" i="9"/>
  <c r="E80" i="9" s="1"/>
  <c r="E81" i="9" s="1"/>
  <c r="Q56" i="67"/>
  <c r="Q47" i="67"/>
  <c r="Q53" i="67" s="1"/>
  <c r="Q65" i="67"/>
  <c r="C43" i="67"/>
  <c r="C83" i="67"/>
  <c r="C82" i="67" s="1"/>
  <c r="Q65" i="15"/>
  <c r="B2" i="15"/>
  <c r="B3" i="15" s="1"/>
  <c r="C43" i="15"/>
  <c r="Q47" i="15"/>
  <c r="Q53" i="15" s="1"/>
  <c r="Q56" i="15"/>
  <c r="C83" i="15"/>
  <c r="C82" i="15" s="1"/>
  <c r="C96" i="9"/>
  <c r="E96" i="9" s="1"/>
  <c r="E97" i="9" s="1"/>
  <c r="C97" i="9"/>
  <c r="D58" i="9" s="1"/>
  <c r="D56" i="9" s="1"/>
  <c r="M54" i="9" s="1"/>
  <c r="N57" i="9" s="1"/>
  <c r="C71" i="15"/>
  <c r="C46" i="15"/>
  <c r="N63" i="40" l="1"/>
  <c r="M65" i="40"/>
  <c r="C57" i="69"/>
  <c r="C56" i="69" s="1"/>
  <c r="E54" i="34"/>
  <c r="F54" i="34" s="1"/>
  <c r="E53" i="34"/>
  <c r="F53" i="34" s="1"/>
  <c r="I54" i="34"/>
  <c r="J54" i="34" s="1"/>
  <c r="L68" i="39"/>
  <c r="K70" i="39"/>
  <c r="C50" i="34"/>
  <c r="B2" i="34" s="1"/>
  <c r="B3" i="34" s="1"/>
  <c r="C49" i="34"/>
  <c r="N58" i="9"/>
  <c r="N59" i="9"/>
  <c r="P57" i="9"/>
  <c r="Q57" i="15"/>
  <c r="Q66" i="15"/>
  <c r="Q75" i="15" s="1"/>
  <c r="Q66" i="67"/>
  <c r="Q75" i="67" s="1"/>
  <c r="Q57" i="67"/>
  <c r="Q62" i="67" s="1"/>
  <c r="Q62" i="15"/>
  <c r="B2" i="67"/>
  <c r="B3" i="67"/>
  <c r="J7" i="40" l="1"/>
  <c r="O63" i="40"/>
  <c r="O65" i="40" s="1"/>
  <c r="N65" i="40"/>
  <c r="H7" i="40" s="1"/>
  <c r="M68" i="39"/>
  <c r="L70" i="39"/>
  <c r="N60" i="9"/>
  <c r="N61" i="9"/>
  <c r="AB7" i="40" l="1"/>
  <c r="T42" i="40" s="1"/>
  <c r="G42" i="40" s="1"/>
  <c r="U7" i="40"/>
  <c r="F7" i="40"/>
  <c r="W7" i="40"/>
  <c r="AC7" i="40"/>
  <c r="V42" i="40" s="1"/>
  <c r="I42" i="40" s="1"/>
  <c r="N68" i="39"/>
  <c r="M70" i="39"/>
  <c r="I46" i="40" l="1"/>
  <c r="J46" i="40" s="1"/>
  <c r="S7" i="40"/>
  <c r="AA7" i="40"/>
  <c r="R42" i="40" s="1"/>
  <c r="G46" i="40"/>
  <c r="H46" i="40" s="1"/>
  <c r="G47" i="40"/>
  <c r="H47" i="40" s="1"/>
  <c r="O68" i="39"/>
  <c r="O70" i="39" s="1"/>
  <c r="N70" i="39"/>
  <c r="E42" i="40" l="1"/>
  <c r="R43" i="40"/>
  <c r="F7" i="39"/>
  <c r="J7" i="39"/>
  <c r="H7" i="39"/>
  <c r="C42" i="40" l="1"/>
  <c r="C43" i="40"/>
  <c r="E46" i="40"/>
  <c r="F46" i="40" s="1"/>
  <c r="E47" i="40"/>
  <c r="F47" i="40" s="1"/>
  <c r="I47" i="40"/>
  <c r="J47" i="40" s="1"/>
  <c r="AC7" i="39"/>
  <c r="V47" i="39" s="1"/>
  <c r="I47" i="39" s="1"/>
  <c r="W7" i="39"/>
  <c r="AB7" i="39"/>
  <c r="T47" i="39" s="1"/>
  <c r="G47" i="39" s="1"/>
  <c r="U7" i="39"/>
  <c r="S7" i="39"/>
  <c r="AA7" i="39"/>
  <c r="R47"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G52" i="39"/>
  <c r="H52" i="39" s="1"/>
  <c r="G51" i="39"/>
  <c r="H51" i="39" s="1"/>
  <c r="E47" i="39"/>
  <c r="I52" i="39" s="1"/>
  <c r="J52" i="39" s="1"/>
  <c r="R48" i="39"/>
  <c r="I51" i="39"/>
  <c r="J51" i="39" s="1"/>
  <c r="C47" i="39" l="1"/>
  <c r="C48" i="39"/>
  <c r="E51" i="39"/>
  <c r="F51" i="39" s="1"/>
  <c r="E52" i="39"/>
  <c r="F52" i="39" s="1"/>
  <c r="B60" i="39" l="1"/>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<sst xmlns="http://schemas.openxmlformats.org/spreadsheetml/2006/main" count="7271" uniqueCount="3069">
  <si>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</si>
  <si>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</si>
  <si>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</si>
  <si>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</si>
  <si>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</si>
  <si>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</si>
  <si>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</si>
  <si>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</si>
  <si>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</si>
  <si>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</si>
  <si>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</si>
  <si>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</si>
  <si>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</si>
  <si>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</si>
  <si>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</si>
  <si>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</si>
  <si>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</si>
  <si>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</si>
  <si>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</si>
  <si>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</si>
  <si>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</si>
  <si>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</si>
  <si>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</si>
  <si>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</si>
  <si>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</si>
  <si>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</si>
  <si>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</si>
  <si>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</si>
  <si>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</si>
  <si>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</si>
  <si>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</si>
  <si>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</si>
  <si>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</si>
  <si>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</si>
  <si>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</si>
  <si>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</si>
  <si>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</si>
  <si>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</si>
  <si>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</si>
  <si>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</si>
  <si>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</si>
  <si>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</si>
  <si>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</si>
  <si>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</si>
  <si>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</si>
  <si>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</si>
  <si>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</si>
  <si>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</si>
  <si>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</si>
  <si>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</si>
  <si>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</si>
  <si>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</si>
  <si>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</si>
  <si>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</si>
  <si>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</si>
  <si>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</si>
  <si>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</si>
  <si>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</si>
  <si>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</si>
  <si>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</si>
  <si>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</si>
  <si>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</si>
  <si>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</si>
  <si>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</si>
  <si>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</si>
  <si>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</si>
  <si>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</si>
  <si>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</si>
  <si>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</si>
  <si>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</si>
  <si>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</si>
  <si>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</si>
  <si>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</si>
  <si>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</si>
  <si>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</si>
  <si>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</si>
  <si>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</si>
  <si>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</si>
  <si>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</si>
  <si>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</si>
  <si>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</si>
  <si>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</si>
  <si>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</si>
  <si>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</si>
  <si>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</si>
  <si>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</si>
  <si>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</si>
  <si>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</si>
  <si>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</si>
  <si>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</si>
  <si>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</si>
  <si>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</si>
  <si>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</si>
  <si>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</si>
  <si>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</si>
  <si>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</si>
  <si>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</si>
  <si>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</si>
  <si>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</si>
  <si>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</si>
  <si>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</si>
  <si>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</si>
  <si>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</si>
  <si>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</si>
  <si>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</si>
  <si>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</si>
  <si>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</si>
  <si>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</si>
  <si>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</si>
  <si>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</si>
  <si>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</si>
  <si>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</si>
  <si>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</si>
  <si>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</si>
  <si>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</si>
  <si>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</si>
  <si>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</si>
  <si>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</si>
  <si>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</si>
  <si>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</si>
  <si>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</si>
  <si>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</si>
  <si>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</si>
  <si>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</si>
  <si>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</si>
  <si>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</si>
  <si>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</si>
  <si>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</si>
  <si>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</si>
  <si>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</si>
  <si>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</si>
  <si>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</si>
  <si>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</si>
  <si>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</si>
  <si>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</si>
  <si>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</si>
  <si>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</si>
  <si>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</si>
  <si>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</si>
  <si>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</si>
  <si>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</si>
  <si>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</si>
  <si>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</si>
  <si>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</si>
  <si>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</si>
  <si>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</si>
  <si>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</si>
  <si>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</si>
  <si>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</si>
  <si>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</si>
  <si>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</si>
  <si>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</si>
  <si>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</si>
  <si>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</si>
  <si>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</si>
  <si>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</si>
  <si>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</si>
  <si>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</si>
  <si>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</si>
  <si>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</si>
  <si>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</si>
  <si>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</si>
  <si>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</si>
  <si>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</si>
  <si>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</si>
  <si>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</si>
  <si>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</si>
  <si>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</si>
  <si>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</si>
  <si>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</si>
  <si>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</si>
  <si>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</si>
  <si>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</si>
  <si>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</si>
  <si>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</si>
  <si>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</si>
  <si>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</si>
  <si>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</si>
  <si>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</si>
  <si>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</si>
  <si>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</si>
  <si>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</si>
  <si>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</si>
  <si>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</si>
  <si>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</si>
  <si>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</si>
  <si>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</si>
  <si>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</si>
  <si>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</si>
  <si>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</si>
  <si>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</si>
  <si>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</si>
  <si>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</si>
  <si>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</si>
  <si>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</si>
  <si>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</si>
  <si>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</si>
  <si>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</si>
  <si>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</si>
  <si>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</si>
  <si>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</si>
  <si>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</si>
  <si>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</si>
  <si>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</si>
  <si>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</si>
  <si>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</si>
  <si>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</si>
  <si>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</si>
  <si>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</si>
  <si>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</si>
  <si>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</si>
  <si>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</si>
  <si>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</si>
  <si>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</si>
  <si>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</si>
  <si>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</si>
  <si>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</si>
  <si>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</si>
  <si>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</si>
  <si>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</si>
  <si>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</si>
  <si>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</si>
  <si>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</si>
  <si>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</si>
  <si>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</si>
  <si>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</si>
  <si>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</si>
  <si>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</si>
  <si>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</si>
  <si>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</si>
  <si>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</si>
  <si>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</si>
  <si>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</si>
  <si>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</si>
  <si>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</si>
  <si>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</si>
  <si>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</si>
  <si>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</si>
  <si>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</si>
  <si>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</si>
  <si>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</si>
  <si>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</si>
  <si>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</si>
  <si>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</si>
  <si>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</si>
  <si>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</si>
  <si>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</si>
  <si>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</si>
  <si>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</si>
  <si>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</si>
  <si>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</si>
  <si>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</si>
  <si>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</si>
  <si>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</si>
  <si>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</si>
  <si>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</si>
  <si>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</si>
  <si>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</si>
  <si>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</si>
  <si>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</si>
  <si>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</si>
  <si>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</si>
  <si>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</si>
  <si>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</si>
  <si>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</si>
  <si>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</si>
  <si>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</si>
  <si>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</si>
  <si>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</si>
  <si>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</si>
  <si>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</si>
  <si>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</si>
  <si>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</si>
  <si>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</si>
  <si>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</si>
  <si>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</si>
  <si>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</si>
  <si>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</si>
  <si>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</si>
  <si>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</si>
  <si>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</si>
  <si>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</si>
  <si>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</si>
  <si>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</si>
  <si>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</si>
  <si>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</si>
  <si>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</si>
  <si>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</si>
  <si>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</si>
  <si>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</si>
  <si>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</si>
  <si>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</si>
  <si>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</si>
  <si>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</si>
  <si>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</si>
  <si>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</si>
  <si>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</si>
  <si>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</si>
  <si>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</si>
  <si>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</si>
  <si>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</si>
  <si>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</si>
  <si>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</si>
  <si>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</si>
  <si>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</si>
  <si>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</si>
  <si>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</si>
  <si>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</si>
  <si>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</si>
  <si>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</si>
  <si>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</si>
  <si>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</si>
  <si>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</si>
  <si>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</si>
  <si>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</si>
  <si>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</si>
  <si>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</si>
  <si>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</si>
  <si>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</si>
  <si>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</si>
  <si>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</si>
  <si>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</si>
  <si>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</si>
  <si>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</si>
  <si>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</si>
  <si>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</si>
  <si>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</si>
  <si>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</si>
  <si>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</si>
  <si>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</si>
  <si>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</si>
  <si>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</si>
  <si>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</si>
  <si>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</si>
  <si>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</si>
  <si>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</si>
  <si>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</si>
  <si>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</si>
  <si>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</si>
  <si>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</si>
  <si>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</si>
  <si>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</si>
  <si>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</si>
  <si>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</si>
  <si>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</si>
  <si>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</si>
  <si>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</si>
  <si>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</si>
  <si>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</si>
  <si>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</si>
  <si>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</si>
  <si>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</si>
  <si>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</si>
  <si>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</si>
  <si>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</si>
  <si>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</si>
  <si>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</si>
  <si>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</si>
  <si>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</si>
  <si>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</si>
  <si>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</si>
  <si>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</si>
  <si>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</si>
  <si>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</si>
  <si>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</si>
  <si>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</si>
  <si>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</si>
  <si>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</si>
  <si>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</si>
  <si>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</si>
  <si>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</si>
  <si>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</si>
  <si>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</si>
  <si>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</si>
  <si>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</si>
  <si>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</si>
  <si>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</si>
  <si>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</si>
  <si>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</si>
  <si>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</si>
  <si>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</si>
  <si>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</si>
  <si>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</si>
  <si>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</si>
  <si>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</si>
  <si>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</si>
  <si>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</si>
  <si>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</si>
  <si>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</si>
  <si>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</si>
  <si>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</si>
  <si>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</si>
  <si>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</si>
  <si>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</si>
  <si>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</si>
  <si>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</si>
  <si>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</si>
  <si>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</si>
  <si>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</si>
  <si>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</si>
  <si>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</si>
  <si>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</si>
  <si>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</si>
  <si>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</si>
  <si>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</si>
  <si>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</si>
  <si>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</si>
  <si>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</si>
  <si>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</si>
  <si>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</si>
  <si>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</si>
  <si>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</si>
  <si>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</si>
  <si>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</si>
  <si>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</si>
  <si>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</si>
  <si>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</si>
  <si>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</si>
  <si>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</si>
  <si>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</si>
  <si>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</si>
  <si>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</si>
  <si>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</si>
  <si>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</si>
  <si>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</si>
  <si>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</si>
  <si>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</si>
  <si>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</si>
  <si>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</si>
  <si>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</si>
  <si>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</si>
  <si>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</si>
  <si>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</si>
  <si>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</si>
  <si>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</si>
  <si>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</si>
  <si>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</si>
  <si>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</si>
  <si>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</si>
  <si>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</si>
  <si>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</si>
  <si>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</si>
  <si>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</si>
  <si>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</si>
  <si>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</si>
  <si>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</si>
  <si>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</si>
  <si>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</si>
  <si>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</si>
  <si>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</si>
  <si>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</si>
  <si>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</si>
  <si>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</si>
  <si>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</si>
  <si>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</si>
  <si>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</si>
  <si>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</si>
  <si>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</si>
  <si>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</si>
  <si>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</si>
  <si>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</si>
  <si>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</si>
  <si>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</si>
  <si>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</si>
  <si>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</si>
  <si>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</si>
  <si>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</si>
  <si>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</si>
  <si>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</si>
  <si>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</si>
  <si>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</si>
  <si>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</si>
  <si>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</si>
  <si>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</si>
  <si>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</si>
  <si>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</si>
  <si>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</si>
  <si>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</si>
  <si>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</si>
  <si>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</si>
  <si>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</si>
  <si>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</si>
  <si>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</si>
  <si>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</si>
  <si>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</si>
  <si>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</si>
  <si>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</si>
  <si>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</si>
  <si>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</si>
  <si>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</si>
  <si>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</si>
  <si>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</si>
  <si>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</si>
  <si>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</si>
  <si>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</si>
  <si>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</si>
  <si>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</si>
  <si>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</si>
  <si>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</si>
  <si>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</si>
  <si>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</si>
  <si>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</si>
  <si>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</si>
  <si>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</si>
  <si>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</si>
  <si>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</si>
  <si>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</si>
  <si>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</si>
  <si>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</si>
  <si>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</si>
  <si>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</si>
  <si>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</si>
  <si>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</si>
  <si>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</si>
  <si>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</si>
  <si>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</si>
  <si>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</si>
  <si>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</si>
  <si>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</si>
  <si>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</si>
  <si>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</si>
  <si>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</si>
  <si>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</si>
  <si>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</si>
  <si>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</si>
  <si>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</si>
  <si>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</si>
  <si>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</si>
  <si>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</si>
  <si>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</si>
  <si>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</si>
  <si>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</si>
  <si>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</si>
  <si>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</si>
  <si>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</si>
  <si>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</si>
  <si>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</si>
  <si>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</si>
  <si>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</si>
  <si>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</si>
  <si>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</si>
  <si>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</si>
  <si>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</si>
  <si>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</si>
  <si>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</si>
  <si>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</si>
  <si>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</si>
  <si>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</si>
  <si>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</si>
  <si>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</si>
  <si>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</si>
  <si>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</si>
  <si>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</si>
  <si>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</si>
  <si>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</si>
  <si>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</si>
  <si>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</si>
  <si>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</si>
  <si>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</si>
  <si>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</si>
  <si>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</si>
  <si>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</si>
  <si>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</si>
  <si>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</si>
  <si>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</si>
  <si>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</si>
  <si>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</si>
  <si>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</si>
  <si>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</si>
  <si>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</si>
  <si>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</si>
  <si>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</si>
  <si>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</si>
  <si>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</si>
  <si>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</si>
  <si>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</si>
  <si>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</si>
  <si>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</si>
  <si>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</si>
  <si>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</si>
  <si>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</si>
  <si>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</si>
  <si>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</si>
  <si>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</si>
  <si>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</si>
  <si>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</si>
  <si>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</si>
  <si>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</si>
  <si>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</si>
  <si>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</si>
  <si>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</si>
  <si>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</si>
  <si>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</si>
  <si>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</si>
  <si>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</si>
  <si>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</si>
  <si>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</si>
  <si>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</si>
  <si>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</si>
  <si>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</si>
  <si>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</si>
  <si>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</si>
  <si>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</si>
  <si>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</si>
  <si>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</si>
  <si>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</si>
  <si>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</si>
  <si>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</si>
  <si>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</si>
  <si>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</si>
  <si>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</si>
  <si>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</si>
  <si>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</si>
  <si>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</si>
  <si>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</si>
  <si>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</si>
  <si>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</si>
  <si>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</si>
  <si>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</si>
  <si>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</si>
  <si>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</si>
  <si>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</si>
  <si>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</si>
  <si>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</si>
  <si>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</si>
  <si>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</si>
  <si>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</si>
  <si>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</si>
  <si>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</si>
  <si>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</si>
  <si>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</si>
  <si>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</si>
  <si>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</si>
  <si>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</si>
  <si>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</si>
  <si>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</si>
  <si>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</si>
  <si>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</si>
  <si>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</si>
  <si>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</si>
  <si>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</si>
  <si>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</si>
  <si>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</si>
  <si>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</si>
  <si>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</si>
  <si>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</si>
  <si>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</si>
  <si>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</si>
  <si>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</si>
  <si>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</si>
  <si>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</si>
  <si>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</si>
  <si>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</si>
  <si>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</si>
  <si>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</si>
  <si>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</si>
  <si>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</si>
  <si>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</si>
  <si>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</si>
  <si>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</si>
  <si>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</si>
  <si>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</si>
  <si>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</si>
  <si>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</si>
  <si>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</si>
  <si>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</si>
  <si>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</si>
  <si>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</si>
  <si>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</si>
  <si>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</si>
  <si>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</si>
  <si>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</si>
  <si>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</si>
  <si>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</si>
  <si>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</si>
  <si>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</si>
  <si>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</si>
  <si>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</si>
  <si>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</si>
  <si>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</si>
  <si>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</si>
  <si>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</si>
  <si>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</si>
  <si>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</si>
  <si>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</si>
  <si>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</si>
  <si>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</si>
  <si>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</si>
  <si>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</si>
  <si>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</si>
  <si>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</si>
  <si>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</si>
  <si>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</si>
  <si>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</si>
  <si>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</si>
  <si>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</si>
  <si>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</si>
  <si>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</si>
  <si>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</si>
  <si>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</si>
  <si>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</si>
  <si>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</si>
  <si>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</si>
  <si>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</si>
  <si>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</si>
  <si>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</si>
  <si>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</si>
  <si>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</si>
  <si>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</si>
  <si>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</si>
  <si>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</si>
  <si>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</si>
  <si>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</si>
  <si>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</si>
  <si>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</si>
  <si>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</si>
  <si>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</si>
  <si>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</si>
  <si>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</si>
  <si>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</si>
  <si>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</si>
  <si>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</si>
  <si>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</si>
  <si>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</si>
  <si>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</si>
  <si>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</si>
  <si>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</si>
  <si>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</si>
  <si>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</si>
  <si>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</si>
  <si>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</si>
  <si>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</si>
  <si>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</si>
  <si>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</si>
  <si>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</si>
  <si>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</si>
  <si>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</si>
  <si>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</si>
  <si>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</si>
  <si>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</si>
  <si>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</si>
  <si>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</si>
  <si>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</si>
  <si>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</si>
  <si>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</si>
  <si>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</si>
  <si>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</si>
  <si>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</si>
  <si>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</si>
  <si>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</si>
  <si>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</si>
  <si>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</si>
  <si>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</si>
  <si>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</si>
  <si>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</si>
  <si>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</si>
  <si>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</si>
  <si>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</si>
  <si>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</si>
  <si>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</si>
  <si>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</si>
  <si>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</si>
  <si>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</si>
  <si>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</si>
  <si>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</si>
  <si>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</si>
  <si>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</si>
  <si>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</si>
  <si>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</si>
  <si>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</si>
  <si>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</si>
  <si>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</si>
  <si>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</si>
  <si>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</si>
  <si>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</si>
  <si>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</si>
  <si>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</si>
  <si>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</si>
  <si>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</si>
  <si>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</si>
  <si>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</si>
  <si>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</si>
  <si>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</si>
  <si>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</si>
  <si>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</si>
  <si>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</si>
  <si>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</si>
  <si>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</si>
  <si>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</si>
  <si>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</si>
  <si>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</si>
  <si>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</si>
  <si>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</si>
  <si>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</si>
  <si>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</si>
  <si>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</si>
  <si>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</si>
  <si>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</si>
  <si>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</si>
  <si>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</si>
  <si>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</si>
  <si>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</si>
  <si>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</si>
  <si>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</si>
  <si>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</si>
  <si>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</si>
  <si>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</si>
  <si>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</si>
  <si>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</si>
  <si>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</si>
  <si>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</si>
  <si>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</si>
  <si>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</si>
  <si>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</si>
  <si>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</si>
  <si>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</si>
  <si>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</si>
  <si>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</si>
  <si>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</si>
  <si>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</si>
  <si>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</si>
  <si>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</si>
  <si>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</si>
  <si>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</si>
  <si>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</si>
  <si>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</si>
  <si>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</si>
  <si>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</si>
  <si>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</si>
  <si>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</si>
  <si>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</si>
  <si>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</si>
  <si>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</si>
  <si>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</si>
  <si>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</si>
  <si>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</si>
  <si>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</si>
  <si>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</si>
  <si>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</si>
  <si>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</si>
  <si>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</si>
  <si>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</si>
  <si>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</si>
  <si>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</si>
  <si>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</si>
  <si>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</si>
  <si>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</si>
  <si>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</si>
  <si>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</si>
  <si>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</si>
  <si>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</si>
  <si>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</si>
  <si>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</si>
  <si>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</si>
  <si>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</si>
  <si>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</si>
  <si>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</si>
  <si>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</si>
  <si>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</si>
  <si>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</si>
  <si>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</si>
  <si>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</si>
  <si>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</si>
  <si>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</si>
  <si>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</si>
  <si>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</si>
  <si>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</si>
  <si>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</si>
  <si>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</si>
  <si>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</si>
  <si>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</si>
  <si>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</si>
  <si>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</si>
  <si>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</si>
  <si>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</si>
  <si>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</si>
  <si>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</si>
  <si>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</si>
  <si>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</si>
  <si>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</si>
  <si>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</si>
  <si>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</si>
  <si>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</si>
  <si>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</si>
  <si>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</si>
  <si>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</si>
  <si>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</si>
  <si>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</si>
  <si>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</si>
  <si>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</si>
  <si>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</si>
  <si>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</si>
  <si>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</si>
  <si>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</si>
  <si>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</si>
  <si>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</si>
  <si>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</si>
  <si>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</si>
  <si>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</si>
  <si>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</si>
  <si>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</si>
  <si>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</si>
  <si>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</si>
  <si>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</si>
  <si>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</si>
  <si>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</si>
  <si>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</si>
  <si>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</si>
  <si>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</si>
  <si>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</si>
  <si>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</si>
  <si>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</si>
  <si>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</si>
  <si>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</si>
  <si>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</si>
  <si>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</si>
  <si>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</si>
  <si>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</si>
  <si>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</si>
  <si>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</si>
  <si>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</si>
  <si>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</si>
  <si>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</si>
  <si>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</si>
  <si>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</si>
  <si>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</si>
  <si>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</si>
  <si>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</si>
  <si>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</si>
  <si>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</si>
  <si>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</si>
  <si>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</si>
  <si>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</si>
  <si>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</si>
  <si>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</si>
  <si>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</si>
  <si>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</si>
  <si>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</si>
  <si>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</si>
  <si>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</si>
  <si>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</si>
  <si>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</si>
  <si>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</si>
  <si>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</si>
  <si>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</si>
  <si>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</si>
  <si>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</si>
  <si>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</si>
  <si>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</si>
  <si>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</si>
  <si>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</si>
  <si>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</si>
  <si>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</si>
  <si>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</si>
  <si>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</si>
  <si>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</si>
  <si>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</si>
  <si>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</si>
  <si>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</si>
  <si>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</si>
  <si>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</si>
  <si>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</si>
  <si>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</si>
  <si>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</si>
  <si>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</si>
  <si>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</si>
  <si>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</si>
  <si>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</si>
  <si>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</si>
  <si>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</si>
  <si>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</si>
  <si>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</si>
  <si>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</si>
  <si>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</si>
  <si>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</si>
  <si>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</si>
  <si>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</si>
  <si>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</si>
  <si>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</si>
  <si>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</si>
  <si>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</si>
  <si>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</si>
  <si>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</si>
  <si>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</si>
  <si>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</si>
  <si>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</si>
  <si>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</si>
  <si>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</si>
  <si>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</si>
  <si>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</si>
  <si>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</si>
  <si>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</si>
  <si>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</si>
  <si>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</si>
  <si>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</si>
  <si>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</si>
  <si>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</si>
  <si>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</si>
  <si>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</si>
  <si>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</si>
  <si>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</si>
  <si>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</si>
  <si>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</si>
  <si>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</si>
  <si>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</si>
  <si>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</si>
  <si>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</si>
  <si>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</si>
  <si>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</si>
  <si>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</si>
  <si>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</si>
  <si>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</si>
  <si>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</si>
  <si>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</si>
  <si>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</si>
  <si>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</si>
  <si>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</si>
  <si>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</si>
  <si>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</si>
  <si>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</si>
  <si>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</si>
  <si>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</si>
  <si>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</si>
  <si>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</si>
  <si>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</si>
  <si>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</si>
  <si>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</si>
  <si>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</si>
  <si>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</si>
  <si>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</si>
  <si>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</si>
  <si>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</si>
  <si>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</si>
  <si>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</si>
  <si>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</si>
  <si>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</si>
  <si>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</si>
  <si>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</si>
  <si>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</si>
  <si>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</si>
  <si>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</si>
  <si>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</si>
  <si>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</si>
  <si>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</si>
  <si>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</si>
  <si>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</si>
  <si>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</si>
  <si>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</si>
  <si>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</si>
  <si>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</si>
  <si>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</si>
  <si>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</si>
  <si>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</si>
  <si>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</si>
  <si>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</si>
  <si>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</si>
  <si>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</si>
  <si>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</si>
  <si>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</si>
  <si>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</si>
  <si>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</si>
  <si>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</si>
  <si>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</si>
  <si>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</si>
  <si>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</si>
  <si>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</si>
  <si>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</si>
  <si>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</si>
  <si>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</si>
  <si>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</si>
  <si>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</si>
  <si>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</si>
  <si>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</si>
  <si>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</si>
  <si>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</si>
  <si>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</si>
  <si>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</si>
  <si>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</si>
  <si>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</si>
  <si>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</si>
  <si>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</si>
  <si>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</si>
  <si>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</si>
  <si>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</si>
  <si>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</si>
  <si>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</si>
  <si>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</si>
  <si>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</si>
  <si>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</si>
  <si>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</si>
  <si>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</si>
  <si>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</si>
  <si>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</si>
  <si>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</si>
  <si>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</si>
  <si>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</si>
  <si>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</si>
  <si>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</si>
  <si>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</si>
  <si>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</si>
  <si>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</si>
  <si>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</si>
  <si>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</si>
  <si>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</si>
  <si>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</si>
  <si>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</si>
  <si>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</si>
  <si>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</si>
  <si>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</si>
  <si>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</si>
  <si>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</si>
  <si>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</si>
  <si>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</si>
  <si>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</si>
  <si>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</si>
  <si>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</si>
  <si>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</si>
  <si>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</si>
  <si>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</si>
  <si>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</si>
  <si>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</si>
  <si>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</si>
  <si>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</si>
  <si>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</si>
  <si>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</si>
  <si>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</si>
  <si>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</si>
  <si>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</si>
  <si>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</si>
  <si>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</si>
  <si>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</si>
  <si>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</si>
  <si>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</si>
  <si>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</si>
  <si>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</si>
  <si>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</si>
  <si>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</si>
  <si>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</si>
  <si>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</si>
  <si>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</si>
  <si>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</si>
  <si>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</si>
  <si>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</si>
  <si>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</si>
  <si>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</si>
  <si>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</si>
  <si>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</si>
  <si>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</si>
  <si>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</si>
  <si>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</si>
  <si>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</si>
  <si>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</si>
  <si>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</si>
  <si>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</si>
  <si>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</si>
  <si>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</si>
  <si>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</si>
  <si>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</si>
  <si>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</si>
  <si>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</si>
  <si>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</si>
  <si>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</si>
  <si>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</si>
  <si>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</si>
  <si>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</si>
  <si>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</si>
  <si>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</si>
  <si>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</si>
  <si>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</si>
  <si>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</si>
  <si>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</si>
  <si>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</si>
  <si>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</si>
  <si>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</si>
  <si>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</si>
  <si>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</si>
  <si>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</si>
  <si>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</si>
  <si>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</si>
  <si>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</si>
  <si>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</si>
  <si>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</si>
  <si>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</si>
  <si>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</si>
  <si>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</si>
  <si>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</si>
  <si>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</si>
  <si>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</si>
  <si>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</si>
  <si>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</si>
  <si>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</si>
  <si>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</si>
  <si>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</si>
  <si>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</si>
  <si>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</si>
  <si>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</si>
  <si>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</si>
  <si>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</si>
  <si>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</si>
  <si>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</si>
  <si>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</si>
  <si>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</si>
  <si>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</si>
  <si>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</si>
  <si>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</si>
  <si>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</si>
  <si>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</si>
  <si>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</si>
  <si>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</si>
  <si>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</si>
  <si>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</si>
  <si>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</si>
  <si>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</si>
  <si>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</si>
  <si>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</si>
  <si>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</si>
  <si>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</si>
  <si>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</si>
  <si>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</si>
  <si>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</si>
  <si>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</si>
  <si>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</si>
  <si>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</si>
  <si>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</si>
  <si>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</si>
  <si>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</si>
  <si>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</si>
  <si>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</si>
  <si>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</si>
  <si>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</si>
  <si>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</si>
  <si>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</si>
  <si>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</si>
  <si>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</si>
  <si>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</si>
  <si>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</si>
  <si>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</si>
  <si>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</si>
  <si>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</si>
  <si>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</si>
  <si>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</si>
  <si>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</si>
  <si>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</si>
  <si>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</si>
  <si>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</si>
  <si>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</si>
  <si>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</si>
  <si>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</si>
  <si>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</si>
  <si>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</si>
  <si>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</si>
  <si>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</si>
  <si>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</si>
  <si>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</si>
  <si>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</si>
  <si>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</si>
  <si>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</si>
  <si>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</si>
  <si>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</si>
  <si>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</si>
  <si>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</si>
  <si>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</si>
  <si>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</si>
  <si>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</si>
  <si>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</si>
  <si>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</si>
  <si>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</si>
  <si>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</si>
  <si>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</si>
  <si>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</si>
  <si>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</si>
  <si>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</si>
  <si>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</si>
  <si>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</si>
  <si>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</si>
  <si>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</si>
  <si>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</si>
  <si>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</si>
  <si>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</si>
  <si>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</si>
  <si>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</si>
  <si>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</si>
  <si>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</si>
  <si>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</si>
  <si>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</si>
  <si>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</si>
  <si>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</si>
  <si>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</si>
  <si>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</si>
  <si>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</si>
  <si>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</si>
  <si>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</si>
  <si>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</si>
  <si>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</si>
  <si>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</si>
  <si>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</si>
  <si>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</si>
  <si>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</si>
  <si>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</si>
  <si>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</si>
  <si>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</si>
  <si>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</si>
  <si>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</si>
  <si>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</si>
  <si>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</si>
  <si>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</si>
  <si>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</si>
  <si>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</si>
  <si>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</si>
  <si>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</si>
  <si>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</si>
  <si>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</si>
  <si>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</si>
  <si>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</si>
  <si>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</si>
  <si>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</si>
  <si>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</si>
  <si>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</si>
  <si>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</si>
  <si>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</si>
  <si>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</si>
  <si>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</si>
  <si>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</si>
  <si>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</si>
  <si>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</si>
  <si>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</si>
  <si>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</si>
  <si>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</si>
  <si>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</si>
  <si>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</si>
  <si>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</si>
  <si>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</si>
  <si>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</si>
  <si>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</si>
  <si>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</si>
  <si>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</si>
  <si>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</si>
  <si>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</si>
  <si>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</si>
  <si>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</si>
  <si>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</si>
  <si>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</si>
  <si>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</si>
  <si>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</si>
  <si>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</si>
  <si>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</si>
  <si>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</si>
  <si>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</si>
  <si>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</si>
  <si>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</si>
  <si>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</si>
  <si>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</si>
  <si>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</si>
  <si>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</si>
  <si>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</si>
  <si>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</si>
  <si>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</si>
  <si>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</si>
  <si>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</si>
  <si>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</si>
  <si>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</si>
  <si>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</si>
  <si>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</si>
  <si>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</si>
  <si>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</si>
  <si>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</si>
  <si>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</si>
  <si>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</si>
  <si>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</si>
  <si>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</si>
  <si>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</si>
  <si>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</si>
  <si>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</si>
  <si>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</si>
  <si>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</si>
  <si>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</si>
  <si>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</si>
  <si>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</si>
  <si>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</si>
  <si>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</si>
  <si>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</si>
  <si>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</si>
  <si>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</si>
  <si>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</si>
  <si>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</si>
  <si>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</si>
  <si>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</si>
  <si>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</si>
  <si>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</si>
  <si>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</si>
  <si>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</si>
  <si>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</si>
  <si>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</si>
  <si>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</si>
  <si>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</si>
  <si>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</si>
  <si>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</si>
  <si>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</si>
  <si>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</si>
  <si>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</si>
  <si>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</si>
  <si>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</si>
  <si>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</si>
  <si>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</si>
  <si>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</si>
  <si>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</si>
  <si>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</si>
  <si>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</si>
  <si>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</si>
  <si>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</si>
  <si>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</si>
  <si>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</si>
  <si>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</si>
  <si>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</si>
  <si>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</si>
  <si>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</si>
  <si>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</si>
  <si>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</si>
  <si>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</si>
  <si>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</si>
  <si>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</si>
  <si>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</si>
  <si>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</si>
  <si>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</si>
  <si>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</si>
  <si>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</si>
  <si>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</si>
  <si>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</si>
  <si>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</si>
  <si>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</si>
  <si>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</si>
  <si>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</si>
  <si>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</si>
  <si>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</si>
  <si>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</si>
  <si>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</si>
  <si>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</si>
  <si>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</si>
  <si>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</si>
  <si>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</si>
  <si>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</si>
  <si>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</si>
  <si>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</si>
  <si>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</si>
  <si>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</si>
  <si>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</si>
  <si>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</si>
  <si>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</si>
  <si>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</si>
  <si>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</si>
  <si>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</si>
  <si>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</si>
  <si>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</si>
  <si>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</si>
  <si>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</si>
  <si>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</si>
  <si>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</si>
  <si>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</si>
  <si>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</si>
  <si>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</si>
  <si>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</si>
  <si>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</si>
  <si>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</si>
  <si>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</si>
  <si>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</si>
  <si>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</si>
  <si>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</si>
  <si>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</si>
  <si>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</si>
  <si>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</si>
  <si>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</si>
  <si>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</si>
  <si>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</si>
  <si>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</si>
  <si>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</si>
  <si>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</si>
  <si>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</si>
  <si>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</si>
  <si>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</si>
  <si>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</si>
  <si>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</si>
  <si>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</si>
  <si>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</si>
  <si>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</si>
  <si>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</si>
  <si>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</si>
  <si>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</si>
  <si>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</si>
  <si>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</si>
  <si>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</si>
  <si>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</si>
  <si>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</si>
  <si>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</si>
  <si>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</si>
  <si>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</si>
  <si>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</si>
  <si>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</si>
  <si>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</si>
  <si>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</si>
  <si>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</si>
  <si>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</si>
  <si>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</si>
  <si>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</si>
  <si>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</si>
  <si>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</si>
  <si>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</si>
  <si>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</si>
  <si>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</si>
  <si>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</si>
  <si>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</si>
  <si>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</si>
  <si>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</si>
  <si>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</si>
  <si>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</si>
  <si>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</si>
  <si>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</si>
  <si>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</si>
  <si>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</si>
  <si>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</si>
  <si>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</si>
  <si>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</si>
  <si>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</si>
  <si>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</si>
  <si>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</si>
  <si>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</si>
  <si>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</si>
  <si>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</si>
  <si>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</si>
  <si>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</si>
  <si>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</si>
  <si>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</si>
  <si>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</si>
  <si>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</si>
  <si>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</si>
  <si>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</si>
  <si>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</si>
  <si>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</si>
  <si>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</si>
  <si>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</si>
  <si>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</si>
  <si>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</si>
  <si>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</si>
  <si>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</si>
  <si>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</si>
  <si>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</si>
  <si>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</si>
  <si>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</si>
  <si>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</si>
  <si>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</si>
  <si>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</si>
  <si>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</si>
  <si>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</si>
  <si>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</si>
  <si>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</si>
  <si>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</si>
  <si>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</si>
  <si>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</si>
  <si>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</si>
  <si>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</si>
  <si>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</si>
  <si>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</si>
  <si>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</si>
  <si>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</si>
  <si>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</si>
  <si>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</si>
  <si>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</si>
  <si>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</si>
  <si>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</si>
  <si>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</si>
  <si>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</si>
  <si>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</si>
  <si>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</si>
  <si>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</si>
  <si>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</si>
  <si>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</si>
  <si>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</si>
  <si>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</si>
  <si>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</si>
  <si>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</si>
  <si>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</si>
  <si>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</si>
  <si>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</si>
  <si>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</si>
  <si>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</si>
  <si>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</si>
  <si>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</si>
  <si>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</si>
  <si>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</si>
  <si>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</si>
  <si>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</si>
  <si>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</si>
  <si>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</si>
  <si>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</si>
  <si>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</si>
  <si>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</si>
  <si>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</si>
  <si>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</si>
  <si>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</si>
  <si>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</si>
  <si>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</si>
  <si>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</si>
  <si>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</si>
  <si>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</si>
  <si>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</si>
  <si>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</si>
  <si>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</si>
  <si>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</si>
  <si>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</si>
  <si>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</si>
  <si>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</si>
  <si>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</si>
  <si>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</si>
  <si>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</si>
  <si>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</si>
  <si>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</si>
  <si>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</si>
  <si>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</si>
  <si>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</si>
  <si>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</si>
  <si>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</si>
  <si>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</si>
  <si>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</si>
  <si>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</si>
  <si>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</si>
  <si>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</si>
  <si>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</si>
  <si>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</si>
  <si>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</si>
  <si>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</si>
  <si>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</si>
  <si>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</si>
  <si>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</si>
  <si>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</si>
  <si>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</si>
  <si>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</si>
  <si>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</si>
  <si>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</si>
  <si>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</si>
  <si>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</si>
  <si>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</si>
  <si>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</si>
  <si>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</si>
  <si>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</si>
  <si>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</si>
  <si>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</si>
  <si>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</si>
  <si>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</si>
  <si>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</si>
  <si>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</si>
  <si>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</si>
  <si>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</si>
  <si>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</si>
  <si>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</si>
  <si>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</si>
  <si>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</si>
  <si>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</si>
  <si>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</si>
  <si>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</si>
  <si>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</si>
  <si>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</si>
  <si>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</si>
  <si>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</si>
  <si>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</si>
  <si>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</si>
  <si>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</si>
  <si>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</si>
  <si>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</si>
  <si>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</si>
  <si>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</si>
  <si>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</si>
  <si>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</si>
  <si>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</si>
  <si>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</si>
  <si>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</si>
  <si>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</si>
  <si>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</si>
  <si>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</si>
  <si>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</si>
  <si>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</si>
  <si>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</si>
  <si>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</si>
  <si>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</si>
  <si>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</si>
  <si>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</si>
  <si>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</si>
  <si>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</si>
  <si>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</si>
  <si>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</si>
  <si>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</si>
  <si>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</si>
  <si>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</si>
  <si>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</si>
  <si>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</si>
  <si>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</si>
  <si>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</si>
  <si>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</si>
  <si>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</si>
  <si>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</si>
  <si>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</si>
  <si>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</si>
  <si>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</si>
  <si>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</si>
  <si>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</si>
  <si>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</si>
  <si>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</si>
  <si>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</si>
  <si>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</si>
  <si>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</si>
  <si>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</si>
  <si>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</si>
  <si>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</si>
  <si>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</si>
  <si>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</si>
  <si>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</si>
  <si>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</si>
  <si>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</si>
  <si>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</si>
  <si>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</si>
  <si>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</si>
  <si>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</si>
  <si>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</si>
  <si>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</si>
  <si>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</si>
  <si>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</si>
  <si>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</si>
  <si>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</si>
  <si>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</si>
  <si>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</si>
  <si>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</si>
  <si>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</si>
  <si>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</si>
  <si>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</si>
  <si>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</si>
  <si>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</si>
  <si>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</si>
  <si>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</si>
  <si>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</si>
  <si>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</si>
  <si>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</si>
  <si>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</si>
  <si>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</si>
  <si>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</si>
  <si>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</si>
  <si>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</si>
  <si>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</si>
  <si>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</si>
  <si>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</si>
  <si>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</si>
  <si>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</si>
  <si>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</si>
  <si>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</si>
  <si>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</si>
  <si>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</si>
  <si>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</si>
  <si>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</si>
  <si>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</si>
  <si>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</si>
  <si>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</si>
  <si>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</si>
  <si>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</si>
  <si>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</si>
  <si>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</si>
  <si>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</si>
  <si>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</si>
  <si>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</si>
  <si>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</si>
  <si>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</si>
  <si>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</si>
  <si>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</si>
  <si>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</si>
  <si>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</si>
  <si>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</si>
  <si>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</si>
  <si>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</si>
  <si>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</si>
  <si>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</si>
  <si>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</si>
  <si>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</si>
  <si>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</si>
  <si>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</si>
  <si>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</si>
  <si>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</si>
  <si>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</si>
  <si>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</si>
  <si>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</si>
  <si>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</si>
  <si>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</si>
  <si>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</si>
  <si>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</si>
  <si>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</si>
  <si>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</si>
  <si>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</si>
  <si>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</si>
  <si>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</si>
  <si>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</si>
  <si>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</si>
  <si>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</si>
  <si>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</si>
  <si>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</si>
  <si>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</si>
  <si>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</si>
  <si>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</si>
  <si>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</si>
  <si>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</si>
  <si>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</si>
  <si>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</si>
  <si>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</si>
  <si>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</si>
  <si>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</si>
  <si>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</si>
  <si>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</si>
  <si>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</si>
  <si>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</si>
  <si>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</si>
  <si>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</si>
  <si>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</si>
  <si>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</si>
  <si>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</si>
  <si>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</si>
  <si>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</si>
  <si>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</si>
  <si>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</si>
  <si>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</si>
  <si>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</si>
  <si>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</si>
  <si>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</si>
  <si>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</si>
  <si>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</si>
  <si>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</si>
  <si>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</si>
  <si>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</si>
  <si>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</si>
  <si>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</si>
  <si>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</si>
  <si>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</si>
  <si>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</si>
  <si>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</si>
  <si>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</si>
  <si>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</si>
  <si>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</si>
  <si>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</si>
  <si>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</si>
  <si>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</si>
  <si>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</si>
  <si>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</si>
  <si>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</si>
  <si>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</si>
  <si>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</si>
  <si>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</si>
  <si>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</si>
  <si>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</si>
  <si>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</si>
  <si>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</si>
  <si>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</si>
  <si>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</si>
  <si>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</si>
  <si>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</si>
  <si>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</si>
  <si>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</si>
  <si>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</si>
  <si>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</si>
  <si>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</si>
  <si>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</si>
  <si>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</si>
  <si>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</si>
  <si>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</si>
  <si>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</si>
  <si>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</si>
  <si>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</si>
  <si>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</si>
  <si>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</si>
  <si>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</si>
  <si>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</si>
  <si>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</si>
  <si>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</si>
  <si>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</si>
  <si>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</si>
  <si>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</si>
  <si>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</si>
  <si>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</si>
  <si>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</si>
  <si>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</si>
  <si>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</si>
  <si>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</si>
  <si>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</si>
  <si>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</si>
  <si>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</si>
  <si>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</si>
  <si>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</si>
  <si>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</si>
  <si>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</si>
  <si>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</si>
  <si>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</si>
  <si>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</si>
  <si>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</si>
  <si>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</si>
  <si>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</si>
  <si>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</si>
  <si>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</si>
  <si>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</si>
  <si>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</si>
  <si>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</si>
  <si>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</si>
  <si>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</si>
  <si>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</si>
  <si>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</si>
  <si>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</si>
  <si>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</si>
  <si>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</si>
  <si>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</si>
  <si>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</si>
  <si>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</si>
  <si>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</si>
  <si>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</si>
  <si>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</si>
  <si>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</si>
  <si>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</si>
  <si>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</si>
  <si>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</si>
  <si>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</si>
  <si>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</si>
  <si>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</si>
  <si>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</si>
  <si>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</si>
  <si>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</si>
  <si>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</si>
  <si>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</si>
  <si>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</si>
  <si>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</si>
  <si>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</si>
  <si>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</si>
  <si>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</si>
  <si>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</si>
  <si>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</si>
  <si>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</si>
  <si>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</si>
  <si>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</si>
  <si>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</si>
  <si>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</si>
  <si>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</si>
  <si>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</si>
  <si>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</si>
  <si>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</si>
  <si>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</si>
  <si>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</si>
  <si>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</si>
  <si>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</si>
  <si>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</si>
  <si>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</si>
  <si>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</si>
  <si>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</si>
  <si>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</si>
  <si>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</si>
  <si>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</si>
  <si>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</si>
  <si>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</si>
  <si>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</si>
  <si>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</si>
  <si>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</si>
  <si>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</si>
  <si>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</si>
  <si>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</si>
  <si>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</si>
  <si>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</si>
  <si>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</si>
  <si>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</si>
  <si>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</si>
  <si>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</si>
  <si>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</si>
  <si>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</si>
  <si>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</si>
  <si>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</si>
  <si>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</si>
  <si>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</si>
  <si>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</si>
  <si>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</si>
  <si>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</si>
  <si>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</si>
  <si>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</si>
  <si>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</si>
  <si>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</si>
  <si>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</si>
  <si>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</si>
  <si>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</si>
  <si>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</si>
  <si>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</si>
  <si>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</si>
  <si>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</si>
  <si>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</si>
  <si>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</si>
  <si>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</si>
  <si>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</si>
  <si>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</si>
  <si>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</si>
  <si>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</si>
  <si>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</si>
  <si>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</si>
  <si>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</si>
  <si>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</si>
  <si>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</si>
  <si>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</si>
  <si>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</si>
  <si>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</si>
  <si>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</si>
  <si>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</si>
  <si>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</si>
  <si>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</si>
  <si>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</si>
  <si>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</si>
  <si>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</si>
  <si>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</si>
  <si>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</si>
  <si>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</si>
  <si>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</si>
  <si>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</si>
  <si>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</si>
  <si>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</si>
  <si>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</si>
  <si>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</si>
  <si>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</si>
  <si>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</si>
  <si>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</si>
  <si>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</si>
  <si>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</si>
  <si>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</si>
  <si>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</si>
  <si>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</si>
  <si>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</si>
  <si>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</si>
  <si>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</si>
  <si>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</si>
  <si>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</si>
  <si>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</si>
  <si>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</si>
  <si>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</si>
  <si>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</si>
  <si>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</si>
  <si>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</si>
  <si>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</si>
  <si>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</si>
  <si>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</si>
  <si>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</si>
  <si>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</si>
  <si>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</si>
  <si>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</si>
  <si>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</si>
  <si>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</si>
  <si>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</si>
  <si>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</si>
  <si>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</si>
  <si>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</si>
  <si>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</si>
  <si>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</si>
  <si>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</si>
  <si>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</si>
  <si>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</si>
  <si>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</si>
  <si>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</si>
  <si>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</si>
  <si>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</si>
  <si>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</si>
  <si>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</si>
  <si>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</si>
  <si>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</si>
  <si>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</si>
  <si>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</si>
  <si>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</si>
  <si>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</si>
  <si>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</si>
  <si>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</si>
  <si>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</si>
  <si>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</si>
  <si>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</si>
  <si>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</si>
  <si>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</si>
  <si>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</si>
  <si>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</si>
  <si>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</si>
  <si>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</si>
  <si>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</si>
  <si>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</si>
  <si>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</si>
  <si>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</si>
  <si>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</si>
  <si>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</si>
  <si>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</si>
  <si>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</si>
  <si>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</si>
  <si>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</si>
  <si>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</si>
  <si>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</si>
  <si>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</si>
  <si>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</si>
  <si>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</si>
  <si>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</si>
  <si>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</si>
  <si>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</si>
  <si>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</si>
  <si>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</si>
  <si>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</si>
  <si>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</si>
  <si>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</si>
  <si>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</si>
  <si>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</si>
  <si>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</si>
  <si>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</si>
  <si>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</si>
  <si>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</si>
  <si>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</si>
  <si>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</si>
  <si>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</si>
  <si>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</si>
  <si>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</si>
  <si>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</si>
  <si>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</si>
  <si>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</si>
  <si>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</si>
  <si>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</si>
  <si>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</si>
  <si>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</si>
  <si>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</si>
  <si>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</si>
  <si>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</si>
  <si>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</si>
  <si>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</si>
  <si>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</si>
  <si>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</si>
  <si>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</si>
  <si>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</si>
  <si>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</si>
  <si>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</si>
  <si>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</si>
  <si>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</si>
  <si>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</si>
  <si>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</si>
  <si>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</si>
  <si>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</si>
  <si>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</si>
  <si>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</si>
  <si>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</si>
  <si>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</si>
  <si>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</si>
  <si>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</si>
  <si>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</si>
  <si>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</si>
  <si>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</si>
  <si>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</si>
  <si>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</si>
  <si>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</si>
  <si>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</si>
  <si>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</si>
  <si>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</si>
  <si>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</si>
  <si>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</si>
  <si>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</si>
  <si>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</si>
  <si>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</si>
  <si>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</si>
  <si>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</si>
  <si>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</si>
  <si>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</si>
  <si>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</si>
  <si>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</si>
  <si>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</si>
  <si>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</si>
  <si>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</si>
  <si>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</si>
  <si>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</si>
  <si>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</si>
  <si>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</si>
  <si>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</si>
  <si>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</si>
  <si>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</si>
  <si>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</si>
  <si>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</si>
  <si>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</si>
  <si>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</si>
  <si>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</si>
  <si>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</si>
  <si>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</si>
  <si>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</si>
  <si>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</si>
  <si>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</si>
  <si>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</si>
  <si>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</si>
  <si>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</si>
  <si>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</si>
  <si>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</si>
  <si>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</si>
  <si>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</si>
  <si>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</si>
  <si>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</si>
  <si>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</si>
  <si>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</si>
  <si>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</si>
  <si>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</si>
  <si>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</si>
  <si>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</si>
  <si>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</si>
  <si>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</si>
  <si>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</si>
  <si>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</si>
  <si>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</si>
  <si>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</si>
  <si>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</si>
  <si>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</si>
  <si>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</si>
  <si>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</si>
  <si>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</si>
  <si>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</si>
  <si>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</si>
  <si>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</si>
  <si>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</si>
  <si>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</si>
  <si>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</si>
  <si>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</si>
  <si>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</si>
  <si>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</si>
  <si>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</si>
  <si>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</si>
  <si>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</si>
  <si>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</si>
  <si>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</si>
  <si>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</si>
  <si>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</si>
  <si>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</si>
  <si>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</si>
  <si>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</si>
  <si>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</si>
  <si>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</si>
  <si>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</si>
  <si>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</si>
  <si>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</si>
  <si>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</si>
  <si>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</si>
  <si>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</si>
  <si>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</si>
  <si>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</si>
  <si>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</si>
  <si>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</si>
  <si>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</si>
  <si>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</si>
  <si>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</si>
  <si>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</si>
  <si>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</si>
  <si>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</si>
  <si>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</si>
  <si>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</si>
  <si>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</si>
  <si>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</si>
  <si>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</si>
  <si>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</si>
  <si>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</si>
  <si>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</si>
  <si>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</si>
  <si>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</si>
  <si>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</si>
  <si>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</si>
  <si>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</si>
  <si>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</si>
  <si>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</si>
  <si>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</si>
  <si>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</si>
  <si>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</si>
  <si>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</si>
  <si>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</si>
  <si>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</si>
  <si>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</si>
  <si>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</si>
  <si>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</si>
  <si>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</si>
  <si>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</si>
  <si>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</si>
  <si>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</si>
  <si>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</si>
  <si>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</si>
  <si>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</si>
  <si>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</si>
  <si>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</si>
  <si>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</si>
  <si>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</si>
  <si>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</si>
  <si>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</si>
  <si>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</si>
  <si>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</si>
  <si>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</si>
  <si>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</si>
  <si>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</si>
  <si>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</si>
  <si>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</si>
  <si>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</si>
  <si>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</si>
  <si>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</si>
  <si>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</si>
  <si>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</si>
  <si>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</si>
  <si>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</si>
  <si>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</si>
  <si>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</si>
  <si>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</si>
  <si>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</si>
  <si>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</si>
  <si>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</si>
  <si>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</si>
  <si>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</si>
  <si>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</si>
  <si>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</si>
  <si>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</si>
  <si>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</si>
  <si>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</si>
  <si>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</si>
  <si>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</si>
  <si>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</si>
  <si>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</si>
  <si>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</si>
  <si>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</si>
  <si>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</si>
  <si>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</si>
  <si>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</si>
  <si>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</si>
  <si>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</si>
  <si>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</si>
  <si>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</si>
  <si>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</si>
  <si>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</si>
  <si>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</si>
  <si>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</si>
  <si>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</si>
  <si>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</si>
  <si>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</si>
  <si>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</si>
  <si>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</si>
  <si>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</si>
  <si>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</si>
  <si>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</si>
  <si>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</si>
  <si>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</si>
  <si>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</si>
  <si>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</si>
  <si>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</si>
  <si>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</si>
  <si>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</si>
  <si>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</si>
  <si>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</si>
  <si>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</si>
  <si>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</si>
  <si>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</si>
  <si>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</si>
  <si>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</si>
  <si>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</si>
  <si>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</si>
  <si>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</si>
  <si>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</si>
  <si>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</si>
  <si>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</si>
  <si>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</si>
  <si>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</si>
  <si>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</si>
  <si>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</si>
  <si>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</si>
  <si>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</si>
  <si>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</si>
  <si>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</si>
  <si>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</si>
  <si>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</si>
  <si>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</si>
  <si>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</si>
  <si>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</si>
  <si>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</si>
  <si>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</si>
  <si>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</si>
  <si>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</si>
  <si>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</si>
  <si>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</si>
  <si>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</si>
  <si>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</si>
  <si>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</si>
  <si>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</si>
  <si>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</si>
  <si>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</si>
  <si>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</si>
  <si>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</si>
  <si>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</si>
  <si>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</si>
  <si>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</si>
  <si>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</si>
  <si>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</si>
  <si>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</si>
  <si>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</si>
  <si>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</si>
  <si>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</si>
  <si>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</si>
  <si>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</si>
  <si>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</si>
  <si>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</si>
  <si>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</si>
  <si>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</si>
  <si>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</si>
  <si>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</si>
  <si>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</si>
  <si>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</si>
  <si>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</si>
  <si>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</si>
  <si>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</si>
  <si>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</si>
  <si>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</si>
  <si>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</si>
  <si>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</si>
  <si>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</si>
  <si>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</si>
  <si>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</si>
  <si>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</si>
  <si>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</si>
  <si>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</si>
  <si>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</si>
  <si>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</si>
  <si>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</si>
  <si>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</si>
  <si>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</si>
  <si>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</si>
  <si>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</si>
  <si>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</si>
  <si>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</si>
  <si>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</si>
  <si>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</si>
  <si>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</si>
  <si>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</si>
  <si>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</si>
  <si>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</si>
  <si>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</si>
  <si>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</si>
  <si>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</si>
  <si>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</si>
  <si>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</si>
  <si>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</si>
  <si>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</si>
  <si>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</si>
  <si>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</si>
  <si>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</si>
  <si>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</si>
  <si>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</si>
  <si>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</si>
  <si>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</si>
  <si>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</si>
  <si>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</si>
  <si>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</si>
  <si>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</si>
  <si>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</si>
  <si>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</si>
  <si>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</si>
  <si>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</si>
  <si>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</si>
  <si>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</si>
  <si>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</si>
  <si>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</si>
  <si>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</si>
  <si>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</si>
  <si>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</si>
  <si>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</si>
  <si>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</si>
  <si>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</si>
  <si>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</si>
  <si>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</si>
  <si>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</si>
  <si>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</si>
  <si>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</si>
  <si>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</si>
  <si>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</si>
  <si>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</si>
  <si>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</si>
  <si>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</si>
  <si>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</si>
  <si>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</si>
  <si>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</si>
  <si>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</si>
  <si>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</si>
  <si>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</si>
  <si>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</si>
  <si>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</si>
  <si>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</si>
  <si>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</si>
  <si>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</si>
  <si>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</si>
  <si>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</si>
  <si>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</si>
  <si>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</si>
  <si>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</si>
  <si>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</si>
  <si>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</si>
  <si>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</si>
  <si>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</si>
  <si>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</si>
  <si>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</si>
  <si>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</si>
  <si>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</si>
  <si>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</si>
  <si>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</si>
  <si>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</si>
  <si>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</si>
  <si>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</si>
  <si>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</si>
  <si>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</si>
  <si>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</si>
  <si>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</si>
  <si>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</si>
  <si>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</si>
  <si>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</si>
  <si>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</si>
  <si>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</si>
  <si>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</si>
  <si>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</si>
  <si>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</si>
  <si>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</si>
  <si>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</si>
  <si>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</si>
  <si>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</si>
  <si>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</si>
  <si>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</si>
  <si>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</si>
  <si>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</si>
  <si>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</si>
  <si>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</si>
  <si>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</si>
  <si>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</si>
  <si>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</si>
  <si>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</si>
  <si>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</si>
  <si>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</si>
  <si>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</si>
  <si>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</si>
  <si>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</si>
  <si>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</si>
  <si>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</si>
  <si>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</si>
  <si>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</si>
  <si>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</si>
  <si>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</si>
  <si>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</si>
  <si>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</si>
  <si>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</si>
  <si>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</si>
  <si>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</si>
  <si>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</si>
  <si>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</si>
  <si>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</si>
  <si>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</si>
  <si>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</si>
  <si>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</si>
  <si>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</si>
  <si>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</si>
  <si>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</si>
  <si>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</si>
  <si>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</si>
  <si>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</si>
  <si>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</si>
  <si>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</si>
  <si>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</si>
  <si>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</si>
  <si>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</si>
  <si>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</si>
  <si>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</si>
  <si>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</si>
  <si>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</si>
  <si>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</si>
  <si>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</si>
  <si>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</si>
  <si>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</si>
  <si>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</si>
  <si>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</si>
  <si>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</si>
  <si>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</si>
  <si>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</si>
  <si>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</si>
  <si>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</si>
  <si>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</si>
  <si>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</si>
  <si>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</si>
  <si>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</si>
  <si>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</si>
  <si>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</si>
  <si>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</si>
  <si>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</si>
  <si>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</si>
  <si>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</si>
  <si>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</si>
  <si>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</si>
  <si>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</si>
  <si>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</si>
  <si>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</si>
  <si>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</si>
  <si>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</si>
  <si>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</si>
  <si>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</si>
  <si>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</si>
  <si>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</si>
  <si>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</si>
  <si>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</si>
  <si>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</si>
  <si>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</si>
  <si>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</si>
  <si>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</si>
  <si>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</si>
  <si>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</si>
  <si>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</si>
  <si>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</si>
  <si>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</si>
  <si>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</si>
  <si>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</si>
  <si>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</si>
  <si>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</si>
  <si>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</si>
  <si>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</si>
  <si>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</si>
  <si>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</si>
  <si>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</si>
  <si>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</si>
  <si>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</si>
  <si>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</si>
  <si>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</si>
  <si>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</si>
  <si>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</si>
  <si>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</si>
  <si>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</si>
  <si>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</si>
  <si>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</si>
  <si>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</si>
  <si>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</si>
  <si>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</si>
  <si>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</si>
  <si>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</si>
  <si>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</si>
  <si>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</si>
  <si>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</si>
  <si>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</si>
  <si>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</si>
  <si>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</si>
  <si>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</si>
  <si>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</si>
  <si>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</si>
  <si>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</si>
  <si>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</si>
  <si>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</si>
  <si>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</si>
  <si>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</si>
  <si>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</si>
  <si>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</si>
  <si>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</si>
  <si>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</si>
  <si>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</si>
  <si>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</si>
  <si>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</si>
  <si>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</si>
  <si>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</si>
  <si>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</si>
  <si>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</si>
  <si>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</si>
  <si>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</si>
  <si>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</si>
  <si>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</si>
  <si>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</si>
  <si>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</si>
  <si>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</si>
  <si>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</si>
  <si>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</si>
  <si>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</si>
  <si>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</si>
  <si>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</si>
  <si>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</si>
  <si>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</si>
  <si>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</si>
  <si>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</si>
  <si>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</si>
  <si>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</si>
  <si>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</si>
  <si>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</si>
  <si>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</si>
  <si>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</si>
  <si>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</si>
  <si>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</si>
  <si>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</si>
  <si>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</si>
  <si>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</si>
  <si>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</si>
  <si>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</si>
  <si>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</si>
  <si>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</si>
  <si>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</si>
  <si>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</si>
  <si>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</si>
  <si>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</si>
  <si>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</si>
  <si>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</si>
  <si>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</si>
  <si>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</si>
  <si>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</si>
  <si>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</si>
  <si>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</si>
  <si>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</si>
  <si>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</si>
  <si>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</si>
  <si>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</si>
  <si>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</si>
  <si>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</si>
  <si>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</si>
  <si>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</si>
  <si>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</si>
  <si>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</si>
  <si>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</si>
  <si>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</si>
  <si>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</si>
  <si>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</si>
  <si>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</si>
  <si>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</si>
  <si>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</si>
  <si>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</si>
  <si>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</si>
  <si>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</si>
  <si>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</si>
  <si>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</si>
  <si>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</si>
  <si>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</si>
  <si>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</si>
  <si>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</si>
  <si>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</si>
  <si>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</si>
  <si>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</si>
  <si>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</si>
  <si>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</si>
  <si>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</si>
  <si>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</si>
  <si>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</si>
  <si>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</si>
  <si>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</si>
  <si>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</si>
  <si>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</si>
  <si>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</si>
  <si>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</si>
  <si>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</si>
  <si>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</si>
  <si>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</si>
  <si>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</si>
  <si>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</si>
  <si>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</si>
  <si>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</si>
  <si>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</si>
  <si>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</si>
  <si>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</si>
  <si>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</si>
  <si>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</si>
  <si>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</si>
  <si>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</si>
  <si>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</si>
  <si>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</si>
  <si>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</si>
  <si>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</si>
  <si>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</si>
  <si>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</si>
  <si>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</si>
  <si>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</si>
  <si>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</si>
  <si>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</si>
  <si>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</si>
  <si>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</si>
  <si>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</si>
  <si>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</si>
  <si>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</si>
  <si>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</si>
  <si>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</si>
  <si>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</si>
  <si>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</si>
  <si>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</si>
  <si>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</si>
  <si>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</si>
  <si>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</si>
  <si>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</si>
  <si>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</si>
  <si>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</si>
  <si>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</si>
  <si>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</si>
  <si>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</si>
  <si>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</si>
  <si>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</si>
  <si>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</si>
  <si>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</si>
  <si>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</si>
  <si>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</si>
  <si>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</si>
  <si>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</si>
  <si>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</si>
  <si>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</si>
  <si>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</si>
  <si>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</si>
  <si>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</si>
  <si>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</si>
  <si>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</si>
  <si>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</si>
  <si>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</si>
  <si>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</si>
  <si>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</si>
  <si>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</si>
  <si>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</si>
  <si>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</si>
  <si>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</si>
  <si>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</si>
  <si>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</si>
  <si>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</si>
  <si>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</si>
  <si>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</si>
  <si>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</si>
  <si>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</si>
  <si>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</si>
  <si>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</si>
  <si>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</si>
  <si>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</si>
  <si>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</si>
  <si>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</si>
  <si>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</si>
  <si>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</si>
  <si>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</si>
  <si>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</si>
  <si>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</si>
  <si>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</si>
  <si>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</si>
  <si>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</si>
  <si>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</si>
  <si>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</si>
  <si>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</si>
  <si>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</si>
  <si>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</si>
  <si>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</si>
  <si>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</si>
  <si>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</si>
  <si>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</si>
  <si>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</si>
  <si>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</si>
  <si>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</si>
  <si>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</si>
  <si>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</si>
  <si>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</si>
  <si>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</si>
  <si>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</si>
  <si>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</si>
  <si>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</si>
  <si>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</si>
  <si>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</si>
  <si>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</si>
  <si>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</si>
  <si>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</si>
  <si>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</si>
  <si>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</si>
  <si>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</si>
  <si>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</si>
  <si>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</si>
  <si>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</si>
  <si>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</si>
  <si>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</si>
  <si>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</si>
  <si>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</si>
  <si>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</si>
  <si>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</si>
  <si>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</si>
  <si>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</si>
  <si>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</si>
  <si>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</si>
  <si>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</si>
  <si>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</si>
  <si>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</si>
  <si>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</si>
  <si>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</si>
  <si>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</si>
  <si>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</si>
  <si>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</si>
  <si>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</si>
  <si>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</si>
  <si>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</si>
  <si>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</si>
  <si>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</si>
  <si>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</si>
  <si>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</si>
  <si>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</si>
  <si>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</si>
  <si>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</si>
  <si>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</si>
  <si>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</si>
  <si>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</si>
  <si>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</si>
  <si>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</si>
  <si>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</si>
  <si>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</si>
  <si>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</si>
  <si>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</si>
  <si>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</si>
  <si>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</si>
  <si>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</si>
  <si>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</si>
  <si>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</si>
  <si>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</si>
  <si>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</si>
  <si>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</si>
  <si>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</si>
  <si>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</si>
  <si>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</si>
  <si>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</si>
  <si>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</si>
  <si>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</si>
  <si>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</si>
  <si>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</si>
  <si>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</si>
  <si>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</si>
  <si>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</si>
  <si>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</si>
  <si>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</si>
  <si>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</si>
  <si>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</si>
  <si>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</si>
  <si>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</si>
  <si>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</si>
  <si>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</si>
  <si>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</si>
  <si>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</si>
  <si>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</si>
  <si>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</si>
  <si>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</si>
  <si>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</si>
  <si>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</si>
  <si>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</si>
  <si>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</si>
  <si>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</si>
  <si>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</si>
  <si>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</si>
  <si>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</si>
  <si>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</si>
  <si>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</si>
  <si>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</si>
  <si>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</si>
  <si>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</si>
  <si>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</si>
  <si>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</si>
  <si>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</si>
  <si>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</si>
  <si>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</si>
  <si>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</si>
  <si>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</si>
  <si>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</si>
  <si>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</si>
  <si>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</si>
  <si>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</si>
  <si>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</si>
  <si>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</si>
  <si>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</si>
  <si>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</si>
  <si>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</si>
  <si>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</si>
  <si>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</si>
  <si>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</si>
  <si>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</si>
  <si>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</si>
  <si>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</si>
  <si>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</si>
  <si>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</si>
  <si>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</si>
  <si>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</si>
  <si>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</si>
  <si>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</si>
  <si>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</si>
  <si>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</si>
  <si>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</si>
  <si>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</si>
  <si>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</si>
  <si>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</si>
  <si>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</si>
  <si>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</si>
  <si>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</si>
  <si>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</si>
  <si>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</si>
  <si>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</si>
  <si>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</si>
  <si>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</si>
  <si>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</si>
  <si>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</si>
  <si>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</si>
  <si>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</si>
  <si>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</si>
  <si>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</si>
  <si>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</si>
  <si>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</si>
  <si>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</si>
  <si>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</si>
  <si>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</si>
  <si>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</si>
  <si>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</si>
  <si>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</si>
  <si>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</si>
  <si>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</si>
  <si>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</si>
  <si>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</si>
  <si>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</si>
  <si>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</si>
  <si>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</si>
  <si>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</si>
  <si>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</si>
  <si>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</si>
  <si>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</si>
  <si>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</si>
  <si>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</si>
  <si>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</si>
  <si>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</si>
  <si>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</si>
  <si>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</si>
  <si>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</si>
  <si>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</si>
  <si>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</si>
  <si>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</si>
  <si>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</si>
  <si>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</si>
  <si>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</si>
  <si>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</si>
  <si>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</si>
  <si>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</si>
  <si>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</si>
  <si>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</si>
  <si>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</si>
  <si>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</si>
  <si>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</si>
  <si>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</si>
  <si>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</si>
  <si>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</si>
  <si>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</si>
  <si>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</si>
  <si>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</si>
  <si>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</si>
  <si>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</si>
  <si>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</si>
  <si>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</si>
  <si>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</si>
  <si>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</si>
  <si>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</si>
  <si>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</si>
  <si>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</si>
  <si>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</si>
  <si>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</si>
  <si>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</si>
  <si>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</si>
  <si>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</si>
  <si>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</si>
  <si>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</si>
  <si>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</si>
  <si>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</si>
  <si>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</si>
  <si>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</si>
  <si>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</si>
  <si>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</si>
  <si>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</si>
  <si>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</si>
  <si>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</si>
  <si>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核定资产</t>
  </si>
  <si>
    <t>已注销</t>
  </si>
  <si>
    <t>房地产市场价值</t>
  </si>
  <si>
    <t>北京市</t>
  </si>
  <si>
    <t>红领巾公园南侧建设项目</t>
    <phoneticPr fontId="6" type="noConversion"/>
  </si>
  <si>
    <t>企业</t>
  </si>
  <si>
    <t>划拨</t>
  </si>
  <si>
    <t>地上</t>
  </si>
  <si>
    <t>地下</t>
  </si>
  <si>
    <t>文体娱乐用地</t>
  </si>
  <si>
    <t>地价指数</t>
  </si>
  <si>
    <t>七通一平</t>
  </si>
  <si>
    <t>一致</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</si>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</sst>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北京市红领巾公园南侧建设项目出让国有建设用地使用权及在建建筑物房地产市场价值预评估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受贵公司委托，我公司对北京市红领巾公园南侧建设项目出让国有建设用地使用权及在建建筑物房地产抵押价值进行了预评估。</v>
      </c>
    </row>
    <row r="7" spans="1:2" s="1596" customFormat="1">
      <c r="A7" s="1594" t="s">
        <v>1260</v>
      </c>
      <c r="B7" s="1595" t="str">
        <f>'预评函-1'!A7</f>
        <v>估价对象为北京市红领巾公园南侧建设项目出让国有建设用地使用权及在建建筑物房地产，为所有。根据《国有土地使用证》[]，估价对象（分摊）出让国有建设用地使用权面积为0平方米，建筑面积为0平方米。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红领巾公园南侧建设项目出让国有建设用地使用权及在建建筑物房地产,属开发建设的，该项目尚在开发建设中。根据《国有土地使用证》[]，估价对象（分摊）出让国有建设用地使用权面积为0平方米，规划建筑面积为0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2018年12月31日（评估专业人员实地查勘之日）</v>
      </c>
    </row>
    <row r="13" spans="1:2" s="1596" customFormat="1">
      <c r="A13" s="1594" t="s">
        <v>1223</v>
      </c>
      <c r="B13" s="1595" t="str">
        <f>'预评函-1'!A18</f>
        <v>本次估价的“房地产价值”是指在正常市场情况下，在价值时点2018年12月31日，估价对象规划用途为，土地取得方式为划拨，假定未设立法定优先受偿款下的房地产市场价值。</v>
      </c>
    </row>
    <row r="14" spans="1:2" s="1596" customFormat="1">
      <c r="A14" s="1594" t="s">
        <v>1224</v>
      </c>
      <c r="B14" s="159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本次评估采用的主估价方法为基准地价系数修正法和基准地价系数修正法。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t="e">
        <f ca="1">'预评函-2'!D5</f>
        <v>#REF!</v>
      </c>
    </row>
    <row r="21" spans="1:2" s="1596" customFormat="1">
      <c r="A21" s="1594" t="s">
        <v>1231</v>
      </c>
      <c r="B21" s="1595" t="e">
        <f ca="1">'预评函-2'!D7</f>
        <v>#REF!</v>
      </c>
    </row>
    <row r="22" spans="1:2" s="1596" customFormat="1">
      <c r="A22" s="1594" t="s">
        <v>1232</v>
      </c>
      <c r="B22" s="1595" t="e">
        <f ca="1">'预评函-2'!D6</f>
        <v>#REF!</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v>
      </c>
    </row>
    <row r="30" spans="1:2" s="1596" customFormat="1">
      <c r="A30" s="1594" t="s">
        <v>1288</v>
      </c>
      <c r="B30" s="1595" t="str">
        <f>'预评函-2'!D13</f>
        <v>——</v>
      </c>
    </row>
    <row r="31" spans="1:2" s="1596" customFormat="1">
      <c r="A31" s="1594" t="s">
        <v>1270</v>
      </c>
      <c r="B31" s="1595" t="e">
        <f>'预评函-2'!D15</f>
        <v>#VALUE!</v>
      </c>
    </row>
    <row r="32" spans="1:2" s="1596" customFormat="1">
      <c r="A32" s="1594" t="s">
        <v>1237</v>
      </c>
      <c r="B32" s="1595" t="e">
        <f>'预评函-2'!D14</f>
        <v>#VALUE!</v>
      </c>
    </row>
    <row r="33" spans="1:2" s="1596" customFormat="1">
      <c r="A33" s="1594" t="s">
        <v>1272</v>
      </c>
      <c r="B33" s="1595" t="str">
        <f>'预评函-2'!B16</f>
        <v>3.抵押担保权已注销时的房地产抵押价值</v>
      </c>
    </row>
    <row r="34" spans="1:2" s="1596" customFormat="1">
      <c r="A34" s="1594" t="s">
        <v>1290</v>
      </c>
      <c r="B34" s="1595" t="e">
        <f ca="1">'预评函-2'!D16</f>
        <v>#REF!</v>
      </c>
    </row>
    <row r="35" spans="1:2" s="1596" customFormat="1">
      <c r="A35" s="1594" t="s">
        <v>1271</v>
      </c>
      <c r="B35" s="1595" t="e">
        <f ca="1">'预评函-2'!D18</f>
        <v>#REF!</v>
      </c>
    </row>
    <row r="36" spans="1:2" s="1596" customFormat="1">
      <c r="A36" s="1594" t="s">
        <v>1238</v>
      </c>
      <c r="B36" s="1595" t="e">
        <f ca="1">'预评函-2'!D17</f>
        <v>#REF!</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北京市红领巾公园南侧建设项目出让国有建设用地使用权及在建建筑物房地产</v>
      </c>
    </row>
    <row r="42" spans="1:2" s="1596" customFormat="1">
      <c r="A42" s="1594" t="s">
        <v>1284</v>
      </c>
      <c r="B42" s="1595" t="str">
        <f>'预评函-3'!B2</f>
        <v>建筑面积</v>
      </c>
    </row>
    <row r="43" spans="1:2" s="1596" customFormat="1">
      <c r="A43" s="1594" t="s">
        <v>1285</v>
      </c>
      <c r="B43" s="1595">
        <f>'预评函-3'!B4</f>
        <v>0</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红领巾公园南侧建设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3"/>
      <c r="B54" s="2025" t="s">
        <v>861</v>
      </c>
      <c r="C54" s="2022" t="s">
        <v>1277</v>
      </c>
    </row>
    <row r="55" spans="1:4">
      <c r="A55" s="2993"/>
      <c r="B55" s="2025" t="s">
        <v>862</v>
      </c>
      <c r="C55" s="2022" t="s">
        <v>1278</v>
      </c>
    </row>
    <row r="56" spans="1:4">
      <c r="A56" s="2993"/>
      <c r="B56" s="2025" t="s">
        <v>863</v>
      </c>
      <c r="C56" s="2022" t="s">
        <v>1282</v>
      </c>
    </row>
    <row r="57" spans="1:4">
      <c r="A57" s="299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1772</v>
      </c>
      <c r="B1" s="3002" t="str">
        <f>IF(B10="北京市","北京市",C10)&amp;F10&amp;IF(结果表!G1="在建","出让国有建设用地使用权及在建建筑物",IF(结果表!G1="土地","出让国有建设用地使用权",))&amp;B9&amp;"预评估"</f>
        <v>北京市红领巾公园南侧建设项目出让国有建设用地使用权及在建建筑物房地产市场价值预评估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北京市红领巾公园南侧建设项目出让国有建设用地使用权及在建建筑物房地产抵押价值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北京市红领巾公园南侧建设项目出让国有建设用地使用权及在建建筑物房地产</v>
      </c>
    </row>
    <row r="3" spans="1:19" ht="18" customHeight="1">
      <c r="A3" s="2038" t="s">
        <v>1774</v>
      </c>
      <c r="B3" s="2039">
        <v>43465</v>
      </c>
      <c r="C3" s="2040" t="s">
        <v>1775</v>
      </c>
      <c r="D3" s="2039">
        <f>B3</f>
        <v>43465</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05" t="s">
        <v>1781</v>
      </c>
      <c r="E8" s="2060" t="s">
        <v>3056</v>
      </c>
      <c r="F8" s="2061"/>
      <c r="G8" s="2029"/>
      <c r="H8" s="2029"/>
      <c r="I8" s="2029"/>
      <c r="J8" s="2045"/>
      <c r="K8" s="2046"/>
      <c r="L8" s="2031"/>
      <c r="M8" s="2031"/>
      <c r="N8" s="2032"/>
      <c r="O8" s="2033"/>
      <c r="P8" s="2032"/>
      <c r="Q8" s="2032"/>
      <c r="R8" s="2032"/>
    </row>
    <row r="9" spans="1:19" ht="18" customHeight="1" thickBot="1">
      <c r="A9" s="2043" t="s">
        <v>1782</v>
      </c>
      <c r="B9" s="2062" t="s">
        <v>3057</v>
      </c>
      <c r="C9" s="2063"/>
      <c r="D9" s="3006"/>
      <c r="E9" s="2062"/>
      <c r="F9" s="2064"/>
      <c r="G9" s="2065"/>
      <c r="H9" s="2065"/>
      <c r="I9" s="2065"/>
      <c r="J9" s="2045"/>
      <c r="K9" s="2057"/>
      <c r="L9" s="2031"/>
      <c r="M9" s="2031"/>
      <c r="N9" s="2032"/>
      <c r="O9" s="2033"/>
      <c r="P9" s="2032"/>
      <c r="Q9" s="2032"/>
      <c r="R9" s="2032"/>
    </row>
    <row r="10" spans="1:19" ht="18" customHeight="1" thickTop="1">
      <c r="A10" s="2066" t="s">
        <v>1783</v>
      </c>
      <c r="B10" s="2067" t="s">
        <v>3058</v>
      </c>
      <c r="C10" s="2068"/>
      <c r="D10" s="2050"/>
      <c r="E10" s="2069" t="s">
        <v>1784</v>
      </c>
      <c r="F10" s="3275" t="s">
        <v>3059</v>
      </c>
      <c r="G10" s="2070"/>
      <c r="H10" s="2071"/>
      <c r="I10" s="2050"/>
      <c r="J10" s="2045"/>
      <c r="K10" s="2057"/>
      <c r="L10" s="2031"/>
      <c r="M10" s="2031"/>
      <c r="N10" s="2032"/>
      <c r="O10" s="2033"/>
      <c r="P10" s="2032"/>
      <c r="Q10" s="2032"/>
      <c r="R10" s="2032"/>
    </row>
    <row r="11" spans="1:19" ht="18" customHeight="1">
      <c r="A11" s="2072" t="s">
        <v>1785</v>
      </c>
      <c r="B11" s="2073" t="s">
        <v>3060</v>
      </c>
      <c r="C11" s="2074"/>
      <c r="D11" s="2075"/>
      <c r="E11" s="2045"/>
      <c r="F11" s="2045"/>
      <c r="G11" s="2045"/>
      <c r="H11" s="2045"/>
      <c r="I11" s="2045"/>
      <c r="J11" s="2045"/>
      <c r="K11" s="2057"/>
      <c r="L11" s="2031"/>
      <c r="M11" s="2031"/>
      <c r="N11" s="2032"/>
      <c r="O11" s="2033"/>
      <c r="P11" s="2032"/>
      <c r="Q11" s="2032"/>
      <c r="R11" s="2032"/>
    </row>
    <row r="12" spans="1:19" ht="18" customHeight="1">
      <c r="A12" s="2076" t="s">
        <v>1786</v>
      </c>
      <c r="B12" s="2073" t="s">
        <v>3061</v>
      </c>
      <c r="C12" s="2077" t="s">
        <v>1787</v>
      </c>
      <c r="D12" s="2078" t="s">
        <v>1788</v>
      </c>
      <c r="E12" s="2078" t="s">
        <v>1789</v>
      </c>
      <c r="F12" s="2078" t="s">
        <v>1790</v>
      </c>
      <c r="G12" s="2078" t="s">
        <v>1791</v>
      </c>
      <c r="H12" s="2078" t="s">
        <v>1792</v>
      </c>
      <c r="I12" s="2078" t="s">
        <v>1793</v>
      </c>
      <c r="J12" s="2045"/>
      <c r="K12" s="2057"/>
      <c r="L12" s="2031"/>
      <c r="M12" s="2031"/>
      <c r="N12" s="2032"/>
      <c r="O12" s="2033"/>
      <c r="P12" s="2032"/>
      <c r="Q12" s="2032"/>
      <c r="R12" s="2032"/>
    </row>
    <row r="13" spans="1:19" ht="18" customHeight="1">
      <c r="A13" s="2079"/>
      <c r="B13" s="2080"/>
      <c r="C13" s="2081" t="s">
        <v>1794</v>
      </c>
      <c r="D13" s="2082"/>
      <c r="E13" s="2082"/>
      <c r="F13" s="2082">
        <v>61727</v>
      </c>
      <c r="G13" s="2082"/>
      <c r="H13" s="2082"/>
      <c r="I13" s="1050"/>
      <c r="J13" s="2045"/>
      <c r="K13" s="2057"/>
      <c r="L13" s="2031"/>
      <c r="M13" s="2031"/>
      <c r="N13" s="2032"/>
      <c r="O13" s="2033"/>
      <c r="P13" s="2032"/>
      <c r="Q13" s="2032"/>
      <c r="R13" s="2032"/>
    </row>
    <row r="14" spans="1:19" ht="18" customHeight="1">
      <c r="A14" s="2079"/>
      <c r="B14" s="2080"/>
      <c r="C14" s="2081" t="s">
        <v>1795</v>
      </c>
      <c r="D14" s="1053"/>
      <c r="E14" s="1053"/>
      <c r="F14" s="1053">
        <v>50</v>
      </c>
      <c r="G14" s="1053"/>
      <c r="H14" s="1053"/>
      <c r="I14" s="1053"/>
      <c r="J14" s="2045"/>
      <c r="K14" s="2083"/>
      <c r="L14" s="2031"/>
      <c r="M14" s="2031"/>
      <c r="N14" s="2032"/>
      <c r="O14" s="2033"/>
      <c r="P14" s="2032"/>
      <c r="Q14" s="2032"/>
      <c r="R14" s="2032"/>
    </row>
    <row r="15" spans="1:19" ht="18" customHeight="1">
      <c r="A15" s="2066"/>
      <c r="B15" s="2084"/>
      <c r="C15" s="2081" t="s">
        <v>1796</v>
      </c>
      <c r="D15" s="1052">
        <f>IF(B12="出让",IF(D13="","",ROUNDDOWN(MIN((D13-$D$3)/365,D14),2)),D14)</f>
        <v>0</v>
      </c>
      <c r="E15" s="1052">
        <f>IF(B12="出让",IF(E13="","",ROUNDDOWN(MIN((E13-$D$3)/365,E14),2)),E14)</f>
        <v>0</v>
      </c>
      <c r="F15" s="1052">
        <f>IF(B12="出让",IF(F13="","",ROUNDDOWN(MIN((F13-$D$3)/365,F14),2)),F14)</f>
        <v>50</v>
      </c>
      <c r="G15" s="1052">
        <f>IF(B12="出让",IF(G13="","",ROUNDDOWN(MIN((G13-$D$3)/365,G14),2)),G14)</f>
        <v>0</v>
      </c>
      <c r="H15" s="1052">
        <f>IF(B12="出让",IF(H13="","",ROUNDDOWN(MIN((H13-$D$3)/365,H14),2)),H14)</f>
        <v>0</v>
      </c>
      <c r="I15" s="1052">
        <f>IF(B12="出让",IF(I13="","",ROUNDDOWN(MIN((I13-$D$3)/365,I14),2)),I14)</f>
        <v>0</v>
      </c>
      <c r="J15" s="2045"/>
      <c r="K15" s="2085"/>
      <c r="L15" s="2086"/>
      <c r="M15" s="2086"/>
      <c r="N15" s="2087"/>
      <c r="O15" s="2086"/>
      <c r="P15" s="2087"/>
      <c r="Q15" s="2032"/>
      <c r="R15" s="2032"/>
    </row>
    <row r="16" spans="1:19" ht="30.75" customHeight="1">
      <c r="A16" s="2069" t="s">
        <v>1797</v>
      </c>
      <c r="B16" s="3012"/>
      <c r="C16" s="3013"/>
      <c r="D16" s="3014"/>
      <c r="E16" s="2088" t="s">
        <v>1798</v>
      </c>
      <c r="F16" s="3015"/>
      <c r="G16" s="3016"/>
      <c r="H16" s="3016"/>
      <c r="I16" s="3017"/>
      <c r="J16" s="2032"/>
      <c r="K16" s="2085"/>
      <c r="L16" s="2086"/>
      <c r="M16" s="2086"/>
      <c r="N16" s="2087"/>
      <c r="O16" s="2086"/>
      <c r="P16" s="2087"/>
      <c r="Q16" s="2032"/>
      <c r="R16" s="2032"/>
    </row>
    <row r="17" spans="1:22" ht="18" customHeight="1">
      <c r="A17" s="2089" t="s">
        <v>1799</v>
      </c>
      <c r="B17" s="2038" t="s">
        <v>1800</v>
      </c>
      <c r="C17" s="1057">
        <f>'数据-汇总表'!E3</f>
        <v>0</v>
      </c>
      <c r="D17" s="2090" t="s">
        <v>1801</v>
      </c>
      <c r="E17" s="3018" t="s">
        <v>1802</v>
      </c>
      <c r="F17" s="3019"/>
      <c r="G17" s="3019"/>
      <c r="H17" s="3019"/>
      <c r="I17" s="3020"/>
      <c r="J17" s="2032"/>
      <c r="K17" s="2091"/>
      <c r="L17" s="2086"/>
      <c r="M17" s="2086"/>
      <c r="N17" s="2087"/>
      <c r="O17" s="2086"/>
      <c r="P17" s="2087"/>
      <c r="Q17" s="2032"/>
      <c r="R17" s="2032"/>
      <c r="S17" s="2032"/>
      <c r="T17" s="2032"/>
      <c r="U17" s="2032"/>
      <c r="V17" s="2032"/>
    </row>
    <row r="18" spans="1:22" ht="36" customHeight="1" thickBot="1">
      <c r="A18" s="2092" t="s">
        <v>1803</v>
      </c>
      <c r="B18" s="2041" t="s">
        <v>1804</v>
      </c>
      <c r="C18" s="1447">
        <f>'数据-汇总表'!D3</f>
        <v>0</v>
      </c>
      <c r="D18" s="2093" t="s">
        <v>1801</v>
      </c>
      <c r="E18" s="3021" t="s">
        <v>1805</v>
      </c>
      <c r="F18" s="3022"/>
      <c r="G18" s="3022"/>
      <c r="H18" s="3022"/>
      <c r="I18" s="3023"/>
      <c r="J18" s="2032"/>
      <c r="K18" s="2091"/>
      <c r="L18" s="2086"/>
      <c r="M18" s="2086"/>
      <c r="N18" s="2087"/>
      <c r="O18" s="2086"/>
      <c r="P18" s="2087"/>
      <c r="Q18" s="2032"/>
      <c r="R18" s="2032"/>
      <c r="S18" s="2032"/>
      <c r="T18" s="2032"/>
      <c r="U18" s="2032"/>
      <c r="V18" s="2032"/>
    </row>
    <row r="19" spans="1:22" ht="37.5" customHeight="1" thickTop="1" thickBot="1">
      <c r="A19" s="373" t="s">
        <v>1806</v>
      </c>
      <c r="B19" s="352" t="s">
        <v>1807</v>
      </c>
      <c r="C19" s="2094"/>
      <c r="D19" s="2095" t="s">
        <v>1808</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1809</v>
      </c>
      <c r="B20" s="3008" t="s">
        <v>1810</v>
      </c>
      <c r="C20" s="3009"/>
      <c r="D20" s="3010" t="s">
        <v>1811</v>
      </c>
      <c r="E20" s="3011"/>
      <c r="F20" s="2100" t="s">
        <v>1812</v>
      </c>
      <c r="G20" s="2045"/>
      <c r="H20" s="2045"/>
      <c r="I20" s="2045"/>
      <c r="J20" s="2045"/>
      <c r="K20" s="300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1814</v>
      </c>
      <c r="C21" s="2102" t="s">
        <v>1815</v>
      </c>
      <c r="D21" s="2103" t="s">
        <v>1816</v>
      </c>
      <c r="E21" s="2104" t="s">
        <v>1815</v>
      </c>
      <c r="F21" s="2105"/>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1817</v>
      </c>
      <c r="C22" s="2102" t="s">
        <v>1818</v>
      </c>
      <c r="D22" s="2029"/>
      <c r="E22" s="2029"/>
      <c r="F22" s="2107"/>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1819</v>
      </c>
      <c r="B23" s="183" t="s">
        <v>1820</v>
      </c>
      <c r="C23" s="2109"/>
      <c r="D23" s="2110" t="s">
        <v>1820</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1821</v>
      </c>
      <c r="C24" s="2114"/>
      <c r="D24" s="2108" t="s">
        <v>1821</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1822</v>
      </c>
      <c r="C25" s="2114"/>
      <c r="D25" s="2108" t="s">
        <v>1822</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1823</v>
      </c>
      <c r="C26" s="2118"/>
      <c r="D26" s="2119" t="s">
        <v>1824</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2995" t="s">
        <v>1825</v>
      </c>
      <c r="B27" s="2066" t="s">
        <v>1826</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2995"/>
      <c r="B28" s="2038" t="s">
        <v>1827</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2995"/>
      <c r="B29" s="2038" t="s">
        <v>1828</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2996"/>
      <c r="B30" s="2038" t="s">
        <v>1829</v>
      </c>
      <c r="C30" s="2997"/>
      <c r="D30" s="2998"/>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2999" t="s">
        <v>1830</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00"/>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00"/>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6"/>
      <c r="C34" s="2136"/>
      <c r="D34" s="2136"/>
      <c r="E34" s="2136"/>
      <c r="F34" s="2136"/>
      <c r="G34" s="2136"/>
      <c r="H34" s="2136"/>
      <c r="I34" s="2045"/>
      <c r="J34" s="2045"/>
      <c r="K34" s="1798">
        <f>COUNTIF(B34:H34,"——")</f>
        <v>0</v>
      </c>
      <c r="L34" s="2077" t="s">
        <v>1832</v>
      </c>
      <c r="M34" s="2077" t="s">
        <v>1833</v>
      </c>
      <c r="N34" s="2077" t="s">
        <v>1834</v>
      </c>
      <c r="O34" s="2077" t="s">
        <v>1835</v>
      </c>
      <c r="P34" s="2077" t="s">
        <v>1836</v>
      </c>
      <c r="Q34" s="2077" t="s">
        <v>1837</v>
      </c>
      <c r="R34" s="2077" t="s">
        <v>1838</v>
      </c>
      <c r="S34" s="2994" t="s">
        <v>1839</v>
      </c>
      <c r="T34" s="2137" t="str">
        <f>NUMBERSTRING(7-K34,1)&amp;"通"</f>
        <v>七通</v>
      </c>
      <c r="U34" s="2032"/>
      <c r="V34" s="2032"/>
    </row>
    <row r="35" spans="1:22" ht="18" customHeight="1">
      <c r="A35" s="2138"/>
      <c r="B35" s="3001" t="s">
        <v>1840</v>
      </c>
      <c r="C35" s="3001"/>
      <c r="D35" s="3001"/>
      <c r="E35" s="3001"/>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4"/>
      <c r="T35" s="48" t="str">
        <f>IF(T34="一通",L35,IF(T34="二通",M35,IF(T34="三通",N35,IF(T34="四通",O35,IF(T34="五通",P35,IF(T34="六通",Q35,R35))))))</f>
        <v>、、、、、、</v>
      </c>
      <c r="U35" s="2032"/>
      <c r="V35" s="2032"/>
    </row>
    <row r="36" spans="1:22" ht="18" customHeight="1">
      <c r="A36" s="2140"/>
      <c r="B36" s="2139" t="s">
        <v>1841</v>
      </c>
      <c r="C36" s="2139" t="s">
        <v>1842</v>
      </c>
      <c r="D36" s="2139" t="s">
        <v>1843</v>
      </c>
      <c r="E36" s="2139" t="s">
        <v>1844</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1845</v>
      </c>
      <c r="B37" s="2143"/>
      <c r="C37" s="2143" t="s">
        <v>442</v>
      </c>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1846</v>
      </c>
      <c r="B38" s="2145"/>
      <c r="C38" s="2145" t="s">
        <v>334</v>
      </c>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1848</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1849</v>
      </c>
      <c r="B42" s="1798" t="s">
        <v>1850</v>
      </c>
      <c r="C42" s="1798" t="s">
        <v>1851</v>
      </c>
      <c r="D42" s="1798" t="s">
        <v>1852</v>
      </c>
      <c r="E42" s="1798" t="s">
        <v>1853</v>
      </c>
      <c r="F42" s="1798" t="s">
        <v>1854</v>
      </c>
      <c r="G42" s="1798" t="s">
        <v>1855</v>
      </c>
      <c r="H42" s="1798" t="s">
        <v>1856</v>
      </c>
      <c r="I42" s="1798" t="s">
        <v>1857</v>
      </c>
      <c r="J42" s="2155" t="s">
        <v>1858</v>
      </c>
      <c r="K42" s="2078" t="s">
        <v>1859</v>
      </c>
      <c r="L42" s="2078" t="s">
        <v>1860</v>
      </c>
      <c r="M42" s="2078" t="s">
        <v>1861</v>
      </c>
      <c r="N42" s="1798" t="s">
        <v>1862</v>
      </c>
      <c r="O42" s="1798" t="s">
        <v>1863</v>
      </c>
      <c r="P42" s="1798" t="s">
        <v>1864</v>
      </c>
      <c r="Q42" s="2077" t="s">
        <v>1865</v>
      </c>
      <c r="R42" s="2077" t="s">
        <v>1866</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12526.03</v>
      </c>
      <c r="B3" s="14">
        <f>IF(C3="否",G5-AT5,G5)</f>
        <v>13560</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6"/>
      <c r="C5" s="1806"/>
      <c r="D5" s="1809"/>
      <c r="E5" s="16" t="s">
        <v>1</v>
      </c>
      <c r="F5" s="16">
        <f>SUM(F13:F587)</f>
        <v>0</v>
      </c>
      <c r="G5" s="16">
        <f>SUM(G13:G587)</f>
        <v>13560</v>
      </c>
      <c r="H5" s="16">
        <f t="shared" ref="H5:AT5" si="0">SUM(H13:H656)</f>
        <v>13560</v>
      </c>
      <c r="I5" s="16">
        <f t="shared" si="0"/>
        <v>8350</v>
      </c>
      <c r="J5" s="16">
        <f t="shared" si="0"/>
        <v>0</v>
      </c>
      <c r="K5" s="16">
        <f t="shared" si="0"/>
        <v>5210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0</v>
      </c>
      <c r="BA5" s="18">
        <f t="shared" si="1"/>
        <v>0</v>
      </c>
      <c r="BB5" s="18">
        <f t="shared" si="1"/>
        <v>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12526.029999999999</v>
      </c>
      <c r="F6" s="16" t="s">
        <v>1</v>
      </c>
      <c r="G6" s="16" t="s">
        <v>2</v>
      </c>
      <c r="H6" s="20">
        <f>SUMIF(I$12:AB$12,"总值",I6:AB6)</f>
        <v>12526.029999999999</v>
      </c>
      <c r="I6" s="16">
        <f t="shared" ref="I6:AB6" si="2">ROUND($A$3*I5/$B$3,2)</f>
        <v>7713.3</v>
      </c>
      <c r="J6" s="16">
        <f t="shared" si="2"/>
        <v>0</v>
      </c>
      <c r="K6" s="16">
        <f t="shared" si="2"/>
        <v>4812.7299999999996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0</v>
      </c>
      <c r="AZ6" s="16" t="s">
        <v>3</v>
      </c>
      <c r="BA6" s="16" t="e">
        <f>ROUND($AY$6*BA5/$AZ$5,2)</f>
        <v>#DIV/0!</v>
      </c>
      <c r="BB6" s="16" t="e">
        <f>ROUND($AY$6*BB5/$AZ$5,2)</f>
        <v>#DIV/0!</v>
      </c>
      <c r="BC6" s="16" t="e">
        <f t="shared" ref="BC6:BH6" si="4">ROUND($AY$6*BC5/$AZ$5,2)</f>
        <v>#DIV/0!</v>
      </c>
      <c r="BD6" s="16" t="e">
        <f t="shared" si="4"/>
        <v>#DIV/0!</v>
      </c>
      <c r="BE6" s="16" t="e">
        <f t="shared" si="4"/>
        <v>#DIV/0!</v>
      </c>
      <c r="BF6" s="16" t="e">
        <f t="shared" si="4"/>
        <v>#DIV/0!</v>
      </c>
      <c r="BG6" s="16" t="e">
        <f t="shared" si="4"/>
        <v>#DIV/0!</v>
      </c>
      <c r="BH6" s="16" t="e">
        <f t="shared" si="4"/>
        <v>#DIV/0!</v>
      </c>
      <c r="BI6" s="16" t="e">
        <f t="shared" ref="BI6:BT6" si="5">ROUND($AY$6*BI5/$AZ$5,2)</f>
        <v>#DIV/0!</v>
      </c>
      <c r="BJ6" s="16" t="e">
        <f t="shared" si="5"/>
        <v>#DIV/0!</v>
      </c>
      <c r="BK6" s="16" t="e">
        <f t="shared" si="5"/>
        <v>#DIV/0!</v>
      </c>
      <c r="BL6" s="16" t="e">
        <f t="shared" si="5"/>
        <v>#DIV/0!</v>
      </c>
      <c r="BM6" s="16" t="e">
        <f t="shared" si="5"/>
        <v>#DIV/0!</v>
      </c>
      <c r="BN6" s="16" t="e">
        <f t="shared" si="5"/>
        <v>#DIV/0!</v>
      </c>
      <c r="BO6" s="16" t="e">
        <f t="shared" si="5"/>
        <v>#DIV/0!</v>
      </c>
      <c r="BP6" s="16" t="e">
        <f t="shared" si="5"/>
        <v>#DIV/0!</v>
      </c>
      <c r="BQ6" s="16" t="e">
        <f t="shared" si="5"/>
        <v>#DIV/0!</v>
      </c>
      <c r="BR6" s="16" t="e">
        <f t="shared" si="5"/>
        <v>#DIV/0!</v>
      </c>
      <c r="BS6" s="16" t="e">
        <f t="shared" si="5"/>
        <v>#DIV/0!</v>
      </c>
      <c r="BT6" s="22" t="e">
        <f t="shared" si="5"/>
        <v>#DIV/0!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1885</v>
      </c>
      <c r="AV7" s="23" t="s">
        <v>1886</v>
      </c>
      <c r="AW7" s="2169" t="s">
        <v>1887</v>
      </c>
      <c r="AX7" s="23" t="s">
        <v>1880</v>
      </c>
      <c r="AY7" s="1806"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1"/>
      <c r="K8" s="1821"/>
      <c r="L8" s="1821"/>
      <c r="M8" s="1821"/>
      <c r="N8" s="1821"/>
      <c r="O8" s="1821"/>
      <c r="P8" s="1821"/>
      <c r="Q8" s="1821"/>
      <c r="R8" s="1821"/>
      <c r="S8" s="1821"/>
      <c r="T8" s="1821"/>
      <c r="U8" s="1821"/>
      <c r="V8" s="2189"/>
      <c r="W8" s="1821"/>
      <c r="X8" s="1821"/>
      <c r="Y8" s="1821"/>
      <c r="Z8" s="1821"/>
      <c r="AA8" s="2189"/>
      <c r="AB8" s="2190"/>
      <c r="AC8" s="984" t="s">
        <v>1891</v>
      </c>
      <c r="AD8" s="2191"/>
      <c r="AE8" s="2183"/>
      <c r="AF8" s="1821"/>
      <c r="AG8" s="1821"/>
      <c r="AH8" s="1821"/>
      <c r="AI8" s="1821"/>
      <c r="AJ8" s="1821"/>
      <c r="AK8" s="1821"/>
      <c r="AL8" s="1821"/>
      <c r="AM8" s="1821"/>
      <c r="AN8" s="1821"/>
      <c r="AO8" s="1821"/>
      <c r="AP8" s="1821"/>
      <c r="AQ8" s="1821"/>
      <c r="AR8" s="1821"/>
      <c r="AS8" s="1821"/>
      <c r="AT8" s="1295" t="s">
        <v>1892</v>
      </c>
      <c r="AU8" s="2185" t="s">
        <v>1893</v>
      </c>
      <c r="AV8" s="1295"/>
      <c r="AW8" s="2168"/>
      <c r="AX8" s="1295"/>
      <c r="AY8" s="2169"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1896</v>
      </c>
      <c r="I9" s="2194" t="s">
        <v>3062</v>
      </c>
      <c r="J9" s="984"/>
      <c r="K9" s="2194" t="s">
        <v>3063</v>
      </c>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1"/>
      <c r="BN9" s="2188"/>
      <c r="BO9" s="1821"/>
      <c r="BP9" s="1821"/>
      <c r="BQ9" s="1821"/>
      <c r="BR9" s="1821"/>
      <c r="BS9" s="1821"/>
      <c r="BT9" s="26"/>
    </row>
    <row r="10" spans="1:72" s="2192" customFormat="1" ht="12.75">
      <c r="A10" s="2185"/>
      <c r="B10" s="2185"/>
      <c r="C10" s="2185"/>
      <c r="D10" s="2185"/>
      <c r="E10" s="2185"/>
      <c r="F10" s="2185"/>
      <c r="G10" s="1295"/>
      <c r="H10" s="28"/>
      <c r="I10" s="2194"/>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t="str">
        <f>K9</f>
        <v>地下</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2"/>
      <c r="AF11" s="2207" t="s">
        <v>1906</v>
      </c>
      <c r="AG11" s="1822"/>
      <c r="AH11" s="2207" t="s">
        <v>1907</v>
      </c>
      <c r="AI11" s="2208"/>
      <c r="AJ11" s="2207" t="s">
        <v>1907</v>
      </c>
      <c r="AK11" s="1822"/>
      <c r="AL11" s="1820"/>
      <c r="AM11" s="1822"/>
      <c r="AN11" s="1820"/>
      <c r="AO11" s="1822"/>
      <c r="AP11" s="1820"/>
      <c r="AQ11" s="1822"/>
      <c r="AR11" s="1820"/>
      <c r="AS11" s="1822"/>
      <c r="AT11" s="2168"/>
      <c r="AU11" s="2185"/>
      <c r="AV11" s="1295"/>
      <c r="AW11" s="2168"/>
      <c r="AX11" s="1295"/>
      <c r="AY11" s="28"/>
      <c r="AZ11" s="28"/>
      <c r="BA11" s="28"/>
      <c r="BB11" s="2190">
        <f>I10</f>
        <v>0</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2"/>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c r="E13" s="16">
        <f>IF($C$3="是",ROUND($A$3*G13/$B$3,2),ROUND($A$3*(G13-AT13)/$B$3,2))</f>
        <v>12526.03</v>
      </c>
      <c r="F13" s="32"/>
      <c r="G13" s="33">
        <f>H13+AC13+AT13</f>
        <v>13560</v>
      </c>
      <c r="H13" s="20">
        <f>SUMIF(I$12:AB$12,"总值",I13:AB13)</f>
        <v>13560</v>
      </c>
      <c r="I13" s="2217">
        <v>8350</v>
      </c>
      <c r="J13" s="2217"/>
      <c r="K13" s="2217">
        <f>13560-8350</f>
        <v>5210</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9" t="e">
        <f>ROUND($AY$6*AZ13/$AZ$5,2)</f>
        <v>#DIV/0!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t="e">
        <f>ROUND($AY$6*AZ14/$AZ$5,2)</f>
        <v>#DIV/0!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t="e">
        <f>ROUND($AY$6*AZ15/$AZ$5,2)</f>
        <v>#DIV/0!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t="e">
        <f>ROUND($AY$6*AZ16/$AZ$5,2)</f>
        <v>#DIV/0!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t="e">
        <f>ROUND($AY$6*AZ17/$AZ$5,2)</f>
        <v>#DIV/0!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t="e">
        <f t="shared" ref="AY18:AY109" si="14">ROUND($AY$6*AZ18/$AZ$5,2)</f>
        <v>#DIV/0!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t="e">
        <f t="shared" si="14"/>
        <v>#DIV/0!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t="e">
        <f t="shared" si="14"/>
        <v>#DIV/0!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t="e">
        <f t="shared" si="14"/>
        <v>#DIV/0!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t="e">
        <f t="shared" si="14"/>
        <v>#DIV/0!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t="e">
        <f t="shared" si="14"/>
        <v>#DIV/0!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t="e">
        <f t="shared" si="14"/>
        <v>#DIV/0!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t="e">
        <f t="shared" si="14"/>
        <v>#DIV/0!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t="e">
        <f t="shared" si="14"/>
        <v>#DIV/0!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t="e">
        <f t="shared" si="14"/>
        <v>#DIV/0!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t="e">
        <f t="shared" si="14"/>
        <v>#DIV/0!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t="e">
        <f t="shared" si="14"/>
        <v>#DIV/0!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t="e">
        <f t="shared" si="14"/>
        <v>#DIV/0!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t="e">
        <f t="shared" si="14"/>
        <v>#DIV/0!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t="e">
        <f t="shared" si="14"/>
        <v>#DIV/0!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t="e">
        <f t="shared" si="14"/>
        <v>#DIV/0!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t="e">
        <f t="shared" si="14"/>
        <v>#DIV/0!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t="e">
        <f t="shared" si="14"/>
        <v>#DIV/0!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t="e">
        <f t="shared" si="14"/>
        <v>#DIV/0!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t="e">
        <f t="shared" si="14"/>
        <v>#DIV/0!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t="e">
        <f t="shared" si="14"/>
        <v>#DIV/0!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t="e">
        <f t="shared" si="14"/>
        <v>#DIV/0!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t="e">
        <f t="shared" si="14"/>
        <v>#DIV/0!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t="e">
        <f t="shared" si="14"/>
        <v>#DIV/0!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t="e">
        <f t="shared" si="14"/>
        <v>#DIV/0!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t="e">
        <f t="shared" si="14"/>
        <v>#DIV/0!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t="e">
        <f t="shared" si="14"/>
        <v>#DIV/0!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t="e">
        <f t="shared" si="14"/>
        <v>#DIV/0!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t="e">
        <f t="shared" si="14"/>
        <v>#DIV/0!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t="e">
        <f t="shared" si="14"/>
        <v>#DIV/0!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t="e">
        <f t="shared" si="14"/>
        <v>#DIV/0!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t="e">
        <f t="shared" si="14"/>
        <v>#DIV/0!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t="e">
        <f t="shared" si="14"/>
        <v>#DIV/0!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t="e">
        <f t="shared" si="14"/>
        <v>#DIV/0!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t="e">
        <f t="shared" si="14"/>
        <v>#DIV/0!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t="e">
        <f t="shared" si="14"/>
        <v>#DIV/0!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t="e">
        <f t="shared" si="14"/>
        <v>#DIV/0!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t="e">
        <f t="shared" si="14"/>
        <v>#DIV/0!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t="e">
        <f t="shared" si="14"/>
        <v>#DIV/0!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t="e">
        <f t="shared" si="14"/>
        <v>#DIV/0!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t="e">
        <f t="shared" si="14"/>
        <v>#DIV/0!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t="e">
        <f t="shared" si="14"/>
        <v>#DIV/0!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t="e">
        <f t="shared" si="14"/>
        <v>#DIV/0!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t="e">
        <f t="shared" si="14"/>
        <v>#DIV/0!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t="e">
        <f t="shared" si="14"/>
        <v>#DIV/0!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t="e">
        <f t="shared" si="14"/>
        <v>#DIV/0!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t="e">
        <f t="shared" si="14"/>
        <v>#DIV/0!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t="e">
        <f t="shared" si="14"/>
        <v>#DIV/0!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t="e">
        <f t="shared" si="14"/>
        <v>#DIV/0!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t="e">
        <f t="shared" si="14"/>
        <v>#DIV/0!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t="e">
        <f t="shared" si="14"/>
        <v>#DIV/0!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t="e">
        <f t="shared" si="14"/>
        <v>#DIV/0!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t="e">
        <f t="shared" si="14"/>
        <v>#DIV/0!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t="e">
        <f t="shared" si="14"/>
        <v>#DIV/0!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t="e">
        <f t="shared" si="14"/>
        <v>#DIV/0!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t="e">
        <f t="shared" si="14"/>
        <v>#DIV/0!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t="e">
        <f t="shared" si="14"/>
        <v>#DIV/0!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t="e">
        <f t="shared" si="14"/>
        <v>#DIV/0!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t="e">
        <f t="shared" si="14"/>
        <v>#DIV/0!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t="e">
        <f t="shared" si="14"/>
        <v>#DIV/0!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t="e">
        <f t="shared" si="14"/>
        <v>#DIV/0!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t="e">
        <f t="shared" si="14"/>
        <v>#DIV/0!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t="e">
        <f t="shared" si="14"/>
        <v>#DIV/0!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t="e">
        <f t="shared" si="14"/>
        <v>#DIV/0!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t="e">
        <f t="shared" si="14"/>
        <v>#DIV/0!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t="e">
        <f t="shared" si="14"/>
        <v>#DIV/0!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t="e">
        <f t="shared" si="14"/>
        <v>#DIV/0!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t="e">
        <f t="shared" si="14"/>
        <v>#DIV/0!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t="e">
        <f t="shared" si="14"/>
        <v>#DIV/0!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t="e">
        <f t="shared" si="14"/>
        <v>#DIV/0!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t="e">
        <f t="shared" si="14"/>
        <v>#DIV/0!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t="e">
        <f t="shared" si="14"/>
        <v>#DIV/0!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t="e">
        <f t="shared" si="14"/>
        <v>#DIV/0!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t="e">
        <f t="shared" si="14"/>
        <v>#DIV/0!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t="e">
        <f t="shared" si="14"/>
        <v>#DIV/0!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t="e">
        <f t="shared" si="14"/>
        <v>#DIV/0!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t="e">
        <f t="shared" si="14"/>
        <v>#DIV/0!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t="e">
        <f t="shared" si="14"/>
        <v>#DIV/0!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t="e">
        <f t="shared" si="14"/>
        <v>#DIV/0!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t="e">
        <f t="shared" si="14"/>
        <v>#DIV/0!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t="e">
        <f t="shared" si="14"/>
        <v>#DIV/0!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t="e">
        <f t="shared" si="14"/>
        <v>#DIV/0!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t="e">
        <f t="shared" si="14"/>
        <v>#DIV/0!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t="e">
        <f t="shared" si="14"/>
        <v>#DIV/0!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t="e">
        <f t="shared" si="14"/>
        <v>#DIV/0!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t="e">
        <f t="shared" si="14"/>
        <v>#DIV/0!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t="e">
        <f t="shared" si="14"/>
        <v>#DIV/0!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t="e">
        <f t="shared" si="14"/>
        <v>#DIV/0!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t="e">
        <f t="shared" si="14"/>
        <v>#DIV/0!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t="e">
        <f t="shared" si="14"/>
        <v>#DIV/0!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t="e">
        <f t="shared" si="14"/>
        <v>#DIV/0!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t="e">
        <f t="shared" si="14"/>
        <v>#DIV/0!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t="e">
        <f t="shared" ref="AY110:AY141" si="39">ROUND($AY$6*AZ110/$AZ$5,2)</f>
        <v>#DIV/0!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t="e">
        <f t="shared" si="39"/>
        <v>#DIV/0!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t="e">
        <f t="shared" si="39"/>
        <v>#DIV/0!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t="e">
        <f t="shared" si="39"/>
        <v>#DIV/0!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t="e">
        <f t="shared" si="39"/>
        <v>#DIV/0!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t="e">
        <f t="shared" si="39"/>
        <v>#DIV/0!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t="e">
        <f t="shared" si="39"/>
        <v>#DIV/0!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t="e">
        <f t="shared" si="39"/>
        <v>#DIV/0!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t="e">
        <f t="shared" si="39"/>
        <v>#DIV/0!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t="e">
        <f t="shared" si="39"/>
        <v>#DIV/0!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t="e">
        <f t="shared" si="39"/>
        <v>#DIV/0!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t="e">
        <f t="shared" si="39"/>
        <v>#DIV/0!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t="e">
        <f t="shared" si="39"/>
        <v>#DIV/0!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t="e">
        <f t="shared" si="39"/>
        <v>#DIV/0!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t="e">
        <f t="shared" si="39"/>
        <v>#DIV/0!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t="e">
        <f t="shared" si="39"/>
        <v>#DIV/0!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t="e">
        <f t="shared" si="39"/>
        <v>#DIV/0!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t="e">
        <f t="shared" si="39"/>
        <v>#DIV/0!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t="e">
        <f t="shared" si="39"/>
        <v>#DIV/0!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t="e">
        <f t="shared" si="39"/>
        <v>#DIV/0!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t="e">
        <f t="shared" si="39"/>
        <v>#DIV/0!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t="e">
        <f t="shared" si="39"/>
        <v>#DIV/0!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t="e">
        <f t="shared" si="39"/>
        <v>#DIV/0!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t="e">
        <f t="shared" si="39"/>
        <v>#DIV/0!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t="e">
        <f t="shared" si="39"/>
        <v>#DIV/0!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t="e">
        <f t="shared" si="39"/>
        <v>#DIV/0!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t="e">
        <f t="shared" si="39"/>
        <v>#DIV/0!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t="e">
        <f t="shared" si="39"/>
        <v>#DIV/0!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t="e">
        <f t="shared" si="39"/>
        <v>#DIV/0!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t="e">
        <f t="shared" si="39"/>
        <v>#DIV/0!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t="e">
        <f t="shared" si="39"/>
        <v>#DIV/0!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t="e">
        <f t="shared" si="39"/>
        <v>#DIV/0!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t="e">
        <f t="shared" ref="AY142:AY173" si="68">ROUND($AY$6*AZ142/$AZ$5,2)</f>
        <v>#DIV/0!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t="e">
        <f t="shared" si="68"/>
        <v>#DIV/0!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t="e">
        <f t="shared" si="68"/>
        <v>#DIV/0!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t="e">
        <f t="shared" si="68"/>
        <v>#DIV/0!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t="e">
        <f t="shared" si="68"/>
        <v>#DIV/0!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t="e">
        <f t="shared" si="68"/>
        <v>#DIV/0!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t="e">
        <f t="shared" si="68"/>
        <v>#DIV/0!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t="e">
        <f t="shared" si="68"/>
        <v>#DIV/0!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t="e">
        <f t="shared" si="68"/>
        <v>#DIV/0!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t="e">
        <f t="shared" si="68"/>
        <v>#DIV/0!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t="e">
        <f t="shared" si="68"/>
        <v>#DIV/0!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t="e">
        <f t="shared" si="68"/>
        <v>#DIV/0!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t="e">
        <f t="shared" si="68"/>
        <v>#DIV/0!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t="e">
        <f t="shared" si="68"/>
        <v>#DIV/0!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t="e">
        <f t="shared" si="68"/>
        <v>#DIV/0!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t="e">
        <f t="shared" si="68"/>
        <v>#DIV/0!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t="e">
        <f t="shared" si="68"/>
        <v>#DIV/0!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t="e">
        <f t="shared" si="68"/>
        <v>#DIV/0!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t="e">
        <f t="shared" si="68"/>
        <v>#DIV/0!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t="e">
        <f t="shared" si="68"/>
        <v>#DIV/0!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t="e">
        <f t="shared" si="68"/>
        <v>#DIV/0!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t="e">
        <f t="shared" si="68"/>
        <v>#DIV/0!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t="e">
        <f t="shared" si="68"/>
        <v>#DIV/0!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t="e">
        <f t="shared" si="68"/>
        <v>#DIV/0!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t="e">
        <f t="shared" si="68"/>
        <v>#DIV/0!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t="e">
        <f t="shared" si="68"/>
        <v>#DIV/0!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t="e">
        <f t="shared" si="68"/>
        <v>#DIV/0!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t="e">
        <f t="shared" si="68"/>
        <v>#DIV/0!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t="e">
        <f t="shared" si="68"/>
        <v>#DIV/0!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t="e">
        <f t="shared" si="68"/>
        <v>#DIV/0!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t="e">
        <f t="shared" si="68"/>
        <v>#DIV/0!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t="e">
        <f t="shared" si="68"/>
        <v>#DIV/0!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t="e">
        <f t="shared" ref="AY174:AY205" si="97">ROUND($AY$6*AZ174/$AZ$5,2)</f>
        <v>#DIV/0!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t="e">
        <f t="shared" si="97"/>
        <v>#DIV/0!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t="e">
        <f t="shared" si="97"/>
        <v>#DIV/0!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t="e">
        <f t="shared" si="97"/>
        <v>#DIV/0!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t="e">
        <f t="shared" si="97"/>
        <v>#DIV/0!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t="e">
        <f t="shared" si="97"/>
        <v>#DIV/0!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t="e">
        <f t="shared" si="97"/>
        <v>#DIV/0!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t="e">
        <f t="shared" si="97"/>
        <v>#DIV/0!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t="e">
        <f t="shared" si="97"/>
        <v>#DIV/0!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t="e">
        <f t="shared" si="97"/>
        <v>#DIV/0!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t="e">
        <f t="shared" si="97"/>
        <v>#DIV/0!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t="e">
        <f t="shared" si="97"/>
        <v>#DIV/0!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t="e">
        <f t="shared" si="97"/>
        <v>#DIV/0!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t="e">
        <f t="shared" si="97"/>
        <v>#DIV/0!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t="e">
        <f t="shared" si="97"/>
        <v>#DIV/0!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t="e">
        <f t="shared" si="97"/>
        <v>#DIV/0!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t="e">
        <f t="shared" si="97"/>
        <v>#DIV/0!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t="e">
        <f t="shared" si="97"/>
        <v>#DIV/0!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t="e">
        <f t="shared" si="97"/>
        <v>#DIV/0!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t="e">
        <f t="shared" si="97"/>
        <v>#DIV/0!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t="e">
        <f t="shared" si="97"/>
        <v>#DIV/0!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t="e">
        <f t="shared" si="97"/>
        <v>#DIV/0!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t="e">
        <f t="shared" si="97"/>
        <v>#DIV/0!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t="e">
        <f t="shared" si="97"/>
        <v>#DIV/0!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t="e">
        <f t="shared" si="97"/>
        <v>#DIV/0!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t="e">
        <f t="shared" si="97"/>
        <v>#DIV/0!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t="e">
        <f t="shared" si="97"/>
        <v>#DIV/0!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t="e">
        <f t="shared" si="97"/>
        <v>#DIV/0!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t="e">
        <f t="shared" si="97"/>
        <v>#DIV/0!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t="e">
        <f t="shared" si="97"/>
        <v>#DIV/0!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t="e">
        <f t="shared" si="97"/>
        <v>#DIV/0!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t="e">
        <f t="shared" si="97"/>
        <v>#DIV/0!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t="e">
        <f>ROUND($AY$6*AZ206/$AZ$5,2)</f>
        <v>#DIV/0!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t="e">
        <f>ROUND($AY$6*AZ207/$AZ$5,2)</f>
        <v>#DIV/0!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t="e">
        <f t="shared" ref="AY208:AY299" si="130">ROUND($AY$6*AZ208/$AZ$5,2)</f>
        <v>#DIV/0!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t="e">
        <f t="shared" si="130"/>
        <v>#DIV/0!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t="e">
        <f t="shared" si="130"/>
        <v>#DIV/0!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t="e">
        <f t="shared" si="130"/>
        <v>#DIV/0!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t="e">
        <f t="shared" si="130"/>
        <v>#DIV/0!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t="e">
        <f t="shared" si="130"/>
        <v>#DIV/0!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t="e">
        <f t="shared" si="130"/>
        <v>#DIV/0!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t="e">
        <f t="shared" si="130"/>
        <v>#DIV/0!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t="e">
        <f t="shared" si="130"/>
        <v>#DIV/0!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t="e">
        <f t="shared" si="130"/>
        <v>#DIV/0!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t="e">
        <f t="shared" si="130"/>
        <v>#DIV/0!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t="e">
        <f t="shared" si="130"/>
        <v>#DIV/0!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t="e">
        <f t="shared" si="130"/>
        <v>#DIV/0!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t="e">
        <f t="shared" si="130"/>
        <v>#DIV/0!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t="e">
        <f t="shared" si="130"/>
        <v>#DIV/0!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t="e">
        <f t="shared" si="130"/>
        <v>#DIV/0!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t="e">
        <f t="shared" si="130"/>
        <v>#DIV/0!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t="e">
        <f t="shared" si="130"/>
        <v>#DIV/0!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t="e">
        <f t="shared" si="130"/>
        <v>#DIV/0!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t="e">
        <f t="shared" si="130"/>
        <v>#DIV/0!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t="e">
        <f t="shared" si="130"/>
        <v>#DIV/0!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t="e">
        <f t="shared" si="130"/>
        <v>#DIV/0!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t="e">
        <f t="shared" si="130"/>
        <v>#DIV/0!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t="e">
        <f t="shared" si="130"/>
        <v>#DIV/0!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t="e">
        <f t="shared" si="130"/>
        <v>#DIV/0!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t="e">
        <f t="shared" si="130"/>
        <v>#DIV/0!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t="e">
        <f t="shared" si="130"/>
        <v>#DIV/0!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t="e">
        <f t="shared" si="130"/>
        <v>#DIV/0!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t="e">
        <f t="shared" si="130"/>
        <v>#DIV/0!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t="e">
        <f t="shared" si="130"/>
        <v>#DIV/0!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t="e">
        <f t="shared" si="130"/>
        <v>#DIV/0!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t="e">
        <f t="shared" si="130"/>
        <v>#DIV/0!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t="e">
        <f t="shared" si="130"/>
        <v>#DIV/0!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t="e">
        <f t="shared" si="130"/>
        <v>#DIV/0!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t="e">
        <f t="shared" si="130"/>
        <v>#DIV/0!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t="e">
        <f t="shared" si="130"/>
        <v>#DIV/0!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t="e">
        <f t="shared" si="130"/>
        <v>#DIV/0!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t="e">
        <f t="shared" si="130"/>
        <v>#DIV/0!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t="e">
        <f t="shared" si="130"/>
        <v>#DIV/0!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t="e">
        <f t="shared" si="130"/>
        <v>#DIV/0!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t="e">
        <f t="shared" si="130"/>
        <v>#DIV/0!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t="e">
        <f t="shared" si="130"/>
        <v>#DIV/0!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t="e">
        <f t="shared" si="130"/>
        <v>#DIV/0!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t="e">
        <f t="shared" si="130"/>
        <v>#DIV/0!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t="e">
        <f t="shared" si="130"/>
        <v>#DIV/0!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t="e">
        <f t="shared" si="130"/>
        <v>#DIV/0!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t="e">
        <f t="shared" si="130"/>
        <v>#DIV/0!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t="e">
        <f t="shared" si="130"/>
        <v>#DIV/0!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t="e">
        <f t="shared" si="130"/>
        <v>#DIV/0!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t="e">
        <f t="shared" si="130"/>
        <v>#DIV/0!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t="e">
        <f t="shared" si="130"/>
        <v>#DIV/0!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t="e">
        <f t="shared" si="130"/>
        <v>#DIV/0!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t="e">
        <f t="shared" si="130"/>
        <v>#DIV/0!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t="e">
        <f t="shared" si="130"/>
        <v>#DIV/0!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t="e">
        <f t="shared" si="130"/>
        <v>#DIV/0!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t="e">
        <f t="shared" si="130"/>
        <v>#DIV/0!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t="e">
        <f t="shared" si="130"/>
        <v>#DIV/0!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t="e">
        <f t="shared" si="130"/>
        <v>#DIV/0!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t="e">
        <f t="shared" si="130"/>
        <v>#DIV/0!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t="e">
        <f t="shared" si="130"/>
        <v>#DIV/0!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t="e">
        <f t="shared" si="130"/>
        <v>#DIV/0!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t="e">
        <f t="shared" si="130"/>
        <v>#DIV/0!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t="e">
        <f t="shared" si="130"/>
        <v>#DIV/0!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t="e">
        <f t="shared" si="130"/>
        <v>#DIV/0!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t="e">
        <f t="shared" si="130"/>
        <v>#DIV/0!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t="e">
        <f t="shared" si="130"/>
        <v>#DIV/0!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t="e">
        <f t="shared" si="130"/>
        <v>#DIV/0!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t="e">
        <f t="shared" si="130"/>
        <v>#DIV/0!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t="e">
        <f t="shared" si="130"/>
        <v>#DIV/0!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t="e">
        <f t="shared" si="130"/>
        <v>#DIV/0!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t="e">
        <f t="shared" si="130"/>
        <v>#DIV/0!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t="e">
        <f t="shared" si="130"/>
        <v>#DIV/0!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t="e">
        <f t="shared" si="130"/>
        <v>#DIV/0!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t="e">
        <f t="shared" si="130"/>
        <v>#DIV/0!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t="e">
        <f t="shared" si="130"/>
        <v>#DIV/0!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t="e">
        <f t="shared" si="130"/>
        <v>#DIV/0!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t="e">
        <f t="shared" si="130"/>
        <v>#DIV/0!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t="e">
        <f t="shared" si="130"/>
        <v>#DIV/0!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t="e">
        <f t="shared" si="130"/>
        <v>#DIV/0!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t="e">
        <f t="shared" si="130"/>
        <v>#DIV/0!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t="e">
        <f t="shared" si="130"/>
        <v>#DIV/0!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t="e">
        <f t="shared" si="130"/>
        <v>#DIV/0!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t="e">
        <f t="shared" si="130"/>
        <v>#DIV/0!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t="e">
        <f t="shared" si="130"/>
        <v>#DIV/0!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t="e">
        <f t="shared" si="130"/>
        <v>#DIV/0!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t="e">
        <f t="shared" si="130"/>
        <v>#DIV/0!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t="e">
        <f t="shared" si="130"/>
        <v>#DIV/0!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t="e">
        <f t="shared" si="130"/>
        <v>#DIV/0!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t="e">
        <f t="shared" si="130"/>
        <v>#DIV/0!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t="e">
        <f t="shared" si="130"/>
        <v>#DIV/0!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t="e">
        <f t="shared" si="130"/>
        <v>#DIV/0!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t="e">
        <f t="shared" si="130"/>
        <v>#DIV/0!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t="e">
        <f t="shared" ref="AY300:AY331" si="155">ROUND($AY$6*AZ300/$AZ$5,2)</f>
        <v>#DIV/0!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t="e">
        <f t="shared" si="155"/>
        <v>#DIV/0!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t="e">
        <f t="shared" si="155"/>
        <v>#DIV/0!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t="e">
        <f t="shared" si="155"/>
        <v>#DIV/0!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t="e">
        <f t="shared" si="155"/>
        <v>#DIV/0!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t="e">
        <f t="shared" si="155"/>
        <v>#DIV/0!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t="e">
        <f t="shared" si="155"/>
        <v>#DIV/0!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t="e">
        <f t="shared" si="155"/>
        <v>#DIV/0!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t="e">
        <f t="shared" si="155"/>
        <v>#DIV/0!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t="e">
        <f t="shared" si="155"/>
        <v>#DIV/0!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t="e">
        <f t="shared" si="155"/>
        <v>#DIV/0!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t="e">
        <f t="shared" si="155"/>
        <v>#DIV/0!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t="e">
        <f t="shared" si="155"/>
        <v>#DIV/0!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t="e">
        <f t="shared" si="155"/>
        <v>#DIV/0!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t="e">
        <f t="shared" si="155"/>
        <v>#DIV/0!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t="e">
        <f t="shared" si="155"/>
        <v>#DIV/0!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t="e">
        <f t="shared" si="155"/>
        <v>#DIV/0!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t="e">
        <f t="shared" si="155"/>
        <v>#DIV/0!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t="e">
        <f t="shared" si="155"/>
        <v>#DIV/0!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t="e">
        <f t="shared" si="155"/>
        <v>#DIV/0!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t="e">
        <f t="shared" si="155"/>
        <v>#DIV/0!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t="e">
        <f t="shared" si="155"/>
        <v>#DIV/0!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t="e">
        <f t="shared" si="155"/>
        <v>#DIV/0!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t="e">
        <f t="shared" si="155"/>
        <v>#DIV/0!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t="e">
        <f t="shared" si="155"/>
        <v>#DIV/0!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t="e">
        <f t="shared" si="155"/>
        <v>#DIV/0!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t="e">
        <f t="shared" si="155"/>
        <v>#DIV/0!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t="e">
        <f t="shared" si="155"/>
        <v>#DIV/0!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t="e">
        <f t="shared" si="155"/>
        <v>#DIV/0!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t="e">
        <f t="shared" si="155"/>
        <v>#DIV/0!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t="e">
        <f t="shared" si="155"/>
        <v>#DIV/0!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t="e">
        <f t="shared" si="155"/>
        <v>#DIV/0!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t="e">
        <f t="shared" ref="AY332:AY363" si="184">ROUND($AY$6*AZ332/$AZ$5,2)</f>
        <v>#DIV/0!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t="e">
        <f t="shared" si="184"/>
        <v>#DIV/0!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t="e">
        <f t="shared" si="184"/>
        <v>#DIV/0!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t="e">
        <f t="shared" si="184"/>
        <v>#DIV/0!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t="e">
        <f t="shared" si="184"/>
        <v>#DIV/0!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t="e">
        <f t="shared" si="184"/>
        <v>#DIV/0!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t="e">
        <f t="shared" si="184"/>
        <v>#DIV/0!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t="e">
        <f t="shared" si="184"/>
        <v>#DIV/0!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t="e">
        <f t="shared" si="184"/>
        <v>#DIV/0!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t="e">
        <f t="shared" si="184"/>
        <v>#DIV/0!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t="e">
        <f t="shared" si="184"/>
        <v>#DIV/0!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t="e">
        <f t="shared" si="184"/>
        <v>#DIV/0!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t="e">
        <f t="shared" si="184"/>
        <v>#DIV/0!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t="e">
        <f t="shared" si="184"/>
        <v>#DIV/0!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t="e">
        <f t="shared" si="184"/>
        <v>#DIV/0!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t="e">
        <f t="shared" si="184"/>
        <v>#DIV/0!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t="e">
        <f t="shared" si="184"/>
        <v>#DIV/0!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t="e">
        <f t="shared" si="184"/>
        <v>#DIV/0!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t="e">
        <f t="shared" si="184"/>
        <v>#DIV/0!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t="e">
        <f t="shared" si="184"/>
        <v>#DIV/0!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t="e">
        <f t="shared" si="184"/>
        <v>#DIV/0!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t="e">
        <f t="shared" si="184"/>
        <v>#DIV/0!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t="e">
        <f t="shared" si="184"/>
        <v>#DIV/0!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t="e">
        <f t="shared" si="184"/>
        <v>#DIV/0!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t="e">
        <f t="shared" si="184"/>
        <v>#DIV/0!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t="e">
        <f t="shared" si="184"/>
        <v>#DIV/0!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t="e">
        <f t="shared" si="184"/>
        <v>#DIV/0!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t="e">
        <f t="shared" si="184"/>
        <v>#DIV/0!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t="e">
        <f t="shared" si="184"/>
        <v>#DIV/0!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t="e">
        <f t="shared" si="184"/>
        <v>#DIV/0!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t="e">
        <f t="shared" si="184"/>
        <v>#DIV/0!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t="e">
        <f t="shared" si="184"/>
        <v>#DIV/0!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t="e">
        <f t="shared" ref="AY364:AY395" si="213">ROUND($AY$6*AZ364/$AZ$5,2)</f>
        <v>#DIV/0!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t="e">
        <f t="shared" si="213"/>
        <v>#DIV/0!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t="e">
        <f t="shared" si="213"/>
        <v>#DIV/0!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t="e">
        <f t="shared" si="213"/>
        <v>#DIV/0!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t="e">
        <f t="shared" si="213"/>
        <v>#DIV/0!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t="e">
        <f t="shared" si="213"/>
        <v>#DIV/0!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t="e">
        <f t="shared" si="213"/>
        <v>#DIV/0!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t="e">
        <f t="shared" si="213"/>
        <v>#DIV/0!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t="e">
        <f t="shared" si="213"/>
        <v>#DIV/0!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t="e">
        <f t="shared" si="213"/>
        <v>#DIV/0!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t="e">
        <f t="shared" si="213"/>
        <v>#DIV/0!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t="e">
        <f t="shared" si="213"/>
        <v>#DIV/0!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t="e">
        <f t="shared" si="213"/>
        <v>#DIV/0!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t="e">
        <f t="shared" si="213"/>
        <v>#DIV/0!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t="e">
        <f t="shared" si="213"/>
        <v>#DIV/0!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t="e">
        <f t="shared" si="213"/>
        <v>#DIV/0!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t="e">
        <f t="shared" si="213"/>
        <v>#DIV/0!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t="e">
        <f t="shared" si="213"/>
        <v>#DIV/0!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t="e">
        <f t="shared" si="213"/>
        <v>#DIV/0!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t="e">
        <f t="shared" si="213"/>
        <v>#DIV/0!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t="e">
        <f t="shared" si="213"/>
        <v>#DIV/0!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t="e">
        <f t="shared" si="213"/>
        <v>#DIV/0!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t="e">
        <f t="shared" si="213"/>
        <v>#DIV/0!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t="e">
        <f t="shared" si="213"/>
        <v>#DIV/0!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t="e">
        <f t="shared" si="213"/>
        <v>#DIV/0!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t="e">
        <f t="shared" si="213"/>
        <v>#DIV/0!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t="e">
        <f t="shared" si="213"/>
        <v>#DIV/0!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t="e">
        <f t="shared" si="213"/>
        <v>#DIV/0!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t="e">
        <f t="shared" si="213"/>
        <v>#DIV/0!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t="e">
        <f t="shared" si="213"/>
        <v>#DIV/0!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t="e">
        <f t="shared" si="213"/>
        <v>#DIV/0!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t="e">
        <f t="shared" si="213"/>
        <v>#DIV/0!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t="e">
        <f>ROUND($AY$6*AZ396/$AZ$5,2)</f>
        <v>#DIV/0!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t="e">
        <f>ROUND($AY$6*AZ397/$AZ$5,2)</f>
        <v>#DIV/0!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t="e">
        <f t="shared" ref="AY398:AY489" si="246">ROUND($AY$6*AZ398/$AZ$5,2)</f>
        <v>#DIV/0!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t="e">
        <f t="shared" si="246"/>
        <v>#DIV/0!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t="e">
        <f t="shared" si="246"/>
        <v>#DIV/0!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t="e">
        <f t="shared" si="246"/>
        <v>#DIV/0!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t="e">
        <f t="shared" si="246"/>
        <v>#DIV/0!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t="e">
        <f t="shared" si="246"/>
        <v>#DIV/0!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t="e">
        <f t="shared" si="246"/>
        <v>#DIV/0!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t="e">
        <f t="shared" si="246"/>
        <v>#DIV/0!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t="e">
        <f t="shared" si="246"/>
        <v>#DIV/0!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t="e">
        <f t="shared" si="246"/>
        <v>#DIV/0!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t="e">
        <f t="shared" si="246"/>
        <v>#DIV/0!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t="e">
        <f t="shared" si="246"/>
        <v>#DIV/0!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t="e">
        <f t="shared" si="246"/>
        <v>#DIV/0!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t="e">
        <f t="shared" si="246"/>
        <v>#DIV/0!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t="e">
        <f t="shared" si="246"/>
        <v>#DIV/0!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t="e">
        <f t="shared" si="246"/>
        <v>#DIV/0!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t="e">
        <f t="shared" si="246"/>
        <v>#DIV/0!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t="e">
        <f t="shared" si="246"/>
        <v>#DIV/0!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t="e">
        <f t="shared" si="246"/>
        <v>#DIV/0!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t="e">
        <f t="shared" si="246"/>
        <v>#DIV/0!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t="e">
        <f t="shared" si="246"/>
        <v>#DIV/0!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t="e">
        <f t="shared" si="246"/>
        <v>#DIV/0!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t="e">
        <f t="shared" si="246"/>
        <v>#DIV/0!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t="e">
        <f t="shared" si="246"/>
        <v>#DIV/0!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t="e">
        <f t="shared" si="246"/>
        <v>#DIV/0!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t="e">
        <f t="shared" si="246"/>
        <v>#DIV/0!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t="e">
        <f t="shared" si="246"/>
        <v>#DIV/0!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t="e">
        <f t="shared" si="246"/>
        <v>#DIV/0!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t="e">
        <f t="shared" si="246"/>
        <v>#DIV/0!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t="e">
        <f t="shared" si="246"/>
        <v>#DIV/0!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t="e">
        <f t="shared" si="246"/>
        <v>#DIV/0!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t="e">
        <f t="shared" si="246"/>
        <v>#DIV/0!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t="e">
        <f t="shared" si="246"/>
        <v>#DIV/0!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t="e">
        <f t="shared" si="246"/>
        <v>#DIV/0!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t="e">
        <f t="shared" si="246"/>
        <v>#DIV/0!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t="e">
        <f t="shared" si="246"/>
        <v>#DIV/0!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t="e">
        <f t="shared" si="246"/>
        <v>#DIV/0!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t="e">
        <f t="shared" si="246"/>
        <v>#DIV/0!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t="e">
        <f t="shared" si="246"/>
        <v>#DIV/0!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t="e">
        <f t="shared" si="246"/>
        <v>#DIV/0!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t="e">
        <f t="shared" si="246"/>
        <v>#DIV/0!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t="e">
        <f t="shared" si="246"/>
        <v>#DIV/0!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t="e">
        <f t="shared" si="246"/>
        <v>#DIV/0!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t="e">
        <f t="shared" si="246"/>
        <v>#DIV/0!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t="e">
        <f t="shared" si="246"/>
        <v>#DIV/0!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t="e">
        <f t="shared" si="246"/>
        <v>#DIV/0!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t="e">
        <f t="shared" si="246"/>
        <v>#DIV/0!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t="e">
        <f t="shared" si="246"/>
        <v>#DIV/0!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t="e">
        <f t="shared" si="246"/>
        <v>#DIV/0!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t="e">
        <f t="shared" si="246"/>
        <v>#DIV/0!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t="e">
        <f t="shared" si="246"/>
        <v>#DIV/0!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t="e">
        <f t="shared" si="246"/>
        <v>#DIV/0!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t="e">
        <f t="shared" si="246"/>
        <v>#DIV/0!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t="e">
        <f t="shared" si="246"/>
        <v>#DIV/0!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t="e">
        <f t="shared" si="246"/>
        <v>#DIV/0!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t="e">
        <f t="shared" si="246"/>
        <v>#DIV/0!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t="e">
        <f t="shared" si="246"/>
        <v>#DIV/0!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t="e">
        <f t="shared" si="246"/>
        <v>#DIV/0!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t="e">
        <f t="shared" si="246"/>
        <v>#DIV/0!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t="e">
        <f t="shared" si="246"/>
        <v>#DIV/0!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t="e">
        <f t="shared" si="246"/>
        <v>#DIV/0!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t="e">
        <f t="shared" si="246"/>
        <v>#DIV/0!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t="e">
        <f t="shared" si="246"/>
        <v>#DIV/0!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t="e">
        <f t="shared" si="246"/>
        <v>#DIV/0!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t="e">
        <f t="shared" si="246"/>
        <v>#DIV/0!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t="e">
        <f t="shared" si="246"/>
        <v>#DIV/0!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t="e">
        <f t="shared" si="246"/>
        <v>#DIV/0!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t="e">
        <f t="shared" si="246"/>
        <v>#DIV/0!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t="e">
        <f t="shared" si="246"/>
        <v>#DIV/0!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t="e">
        <f t="shared" si="246"/>
        <v>#DIV/0!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t="e">
        <f t="shared" si="246"/>
        <v>#DIV/0!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t="e">
        <f t="shared" si="246"/>
        <v>#DIV/0!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t="e">
        <f t="shared" si="246"/>
        <v>#DIV/0!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t="e">
        <f t="shared" si="246"/>
        <v>#DIV/0!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t="e">
        <f t="shared" si="246"/>
        <v>#DIV/0!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t="e">
        <f t="shared" si="246"/>
        <v>#DIV/0!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t="e">
        <f t="shared" si="246"/>
        <v>#DIV/0!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t="e">
        <f t="shared" si="246"/>
        <v>#DIV/0!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t="e">
        <f t="shared" si="246"/>
        <v>#DIV/0!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t="e">
        <f t="shared" si="246"/>
        <v>#DIV/0!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t="e">
        <f t="shared" si="246"/>
        <v>#DIV/0!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t="e">
        <f t="shared" si="246"/>
        <v>#DIV/0!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t="e">
        <f t="shared" si="246"/>
        <v>#DIV/0!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t="e">
        <f t="shared" si="246"/>
        <v>#DIV/0!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t="e">
        <f t="shared" si="246"/>
        <v>#DIV/0!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t="e">
        <f t="shared" si="246"/>
        <v>#DIV/0!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t="e">
        <f t="shared" si="246"/>
        <v>#DIV/0!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t="e">
        <f t="shared" si="246"/>
        <v>#DIV/0!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t="e">
        <f t="shared" si="246"/>
        <v>#DIV/0!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t="e">
        <f t="shared" si="246"/>
        <v>#DIV/0!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t="e">
        <f t="shared" si="246"/>
        <v>#DIV/0!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t="e">
        <f t="shared" si="246"/>
        <v>#DIV/0!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t="e">
        <f t="shared" ref="AY490:AY521" si="271">ROUND($AY$6*AZ490/$AZ$5,2)</f>
        <v>#DIV/0!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t="e">
        <f t="shared" si="271"/>
        <v>#DIV/0!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t="e">
        <f t="shared" si="271"/>
        <v>#DIV/0!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t="e">
        <f t="shared" si="271"/>
        <v>#DIV/0!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t="e">
        <f t="shared" si="271"/>
        <v>#DIV/0!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t="e">
        <f t="shared" si="271"/>
        <v>#DIV/0!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t="e">
        <f t="shared" si="271"/>
        <v>#DIV/0!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t="e">
        <f t="shared" si="271"/>
        <v>#DIV/0!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t="e">
        <f t="shared" si="271"/>
        <v>#DIV/0!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t="e">
        <f t="shared" si="271"/>
        <v>#DIV/0!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t="e">
        <f t="shared" si="271"/>
        <v>#DIV/0!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t="e">
        <f t="shared" si="271"/>
        <v>#DIV/0!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t="e">
        <f t="shared" si="271"/>
        <v>#DIV/0!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t="e">
        <f t="shared" si="271"/>
        <v>#DIV/0!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t="e">
        <f t="shared" si="271"/>
        <v>#DIV/0!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t="e">
        <f t="shared" si="271"/>
        <v>#DIV/0!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t="e">
        <f t="shared" si="271"/>
        <v>#DIV/0!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t="e">
        <f t="shared" si="271"/>
        <v>#DIV/0!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t="e">
        <f t="shared" si="271"/>
        <v>#DIV/0!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t="e">
        <f t="shared" si="271"/>
        <v>#DIV/0!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t="e">
        <f t="shared" si="271"/>
        <v>#DIV/0!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t="e">
        <f t="shared" si="271"/>
        <v>#DIV/0!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t="e">
        <f t="shared" si="271"/>
        <v>#DIV/0!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t="e">
        <f t="shared" si="271"/>
        <v>#DIV/0!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t="e">
        <f t="shared" si="271"/>
        <v>#DIV/0!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t="e">
        <f t="shared" si="271"/>
        <v>#DIV/0!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t="e">
        <f t="shared" si="271"/>
        <v>#DIV/0!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t="e">
        <f t="shared" si="271"/>
        <v>#DIV/0!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t="e">
        <f t="shared" si="271"/>
        <v>#DIV/0!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t="e">
        <f t="shared" si="271"/>
        <v>#DIV/0!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t="e">
        <f t="shared" si="271"/>
        <v>#DIV/0!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t="e">
        <f t="shared" si="271"/>
        <v>#DIV/0!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t="e">
        <f t="shared" ref="AY522:AY552" si="304">ROUND($AY$6*AZ522/$AZ$5,2)</f>
        <v>#DIV/0!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t="e">
        <f t="shared" si="304"/>
        <v>#DIV/0!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t="e">
        <f t="shared" si="304"/>
        <v>#DIV/0!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t="e">
        <f t="shared" si="304"/>
        <v>#DIV/0!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t="e">
        <f t="shared" si="304"/>
        <v>#DIV/0!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t="e">
        <f t="shared" si="304"/>
        <v>#DIV/0!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t="e">
        <f t="shared" si="304"/>
        <v>#DIV/0!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t="e">
        <f t="shared" si="304"/>
        <v>#DIV/0!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t="e">
        <f t="shared" si="304"/>
        <v>#DIV/0!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t="e">
        <f t="shared" si="304"/>
        <v>#DIV/0!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t="e">
        <f t="shared" si="304"/>
        <v>#DIV/0!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t="e">
        <f t="shared" si="304"/>
        <v>#DIV/0!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t="e">
        <f t="shared" si="304"/>
        <v>#DIV/0!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t="e">
        <f t="shared" si="304"/>
        <v>#DIV/0!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t="e">
        <f t="shared" si="304"/>
        <v>#DIV/0!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t="e">
        <f t="shared" si="304"/>
        <v>#DIV/0!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t="e">
        <f t="shared" si="304"/>
        <v>#DIV/0!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t="e">
        <f t="shared" si="304"/>
        <v>#DIV/0!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t="e">
        <f t="shared" si="304"/>
        <v>#DIV/0!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t="e">
        <f t="shared" si="304"/>
        <v>#DIV/0!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t="e">
        <f t="shared" si="304"/>
        <v>#DIV/0!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t="e">
        <f t="shared" si="304"/>
        <v>#DIV/0!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t="e">
        <f t="shared" si="304"/>
        <v>#DIV/0!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t="e">
        <f t="shared" si="304"/>
        <v>#DIV/0!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t="e">
        <f t="shared" si="304"/>
        <v>#DIV/0!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t="e">
        <f t="shared" si="304"/>
        <v>#DIV/0!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t="e">
        <f t="shared" si="304"/>
        <v>#DIV/0!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t="e">
        <f t="shared" si="304"/>
        <v>#DIV/0!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t="e">
        <f t="shared" si="304"/>
        <v>#DIV/0!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t="e">
        <f t="shared" si="304"/>
        <v>#DIV/0!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t="e">
        <f t="shared" si="304"/>
        <v>#DIV/0!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t="e">
        <f t="shared" ref="AY553:AY584" si="333">ROUND($AY$6*AZ553/$AZ$5,2)</f>
        <v>#DIV/0!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t="e">
        <f t="shared" si="333"/>
        <v>#DIV/0!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t="e">
        <f t="shared" si="333"/>
        <v>#DIV/0!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t="e">
        <f t="shared" si="333"/>
        <v>#DIV/0!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t="e">
        <f t="shared" si="333"/>
        <v>#DIV/0!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t="e">
        <f t="shared" si="333"/>
        <v>#DIV/0!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t="e">
        <f t="shared" si="333"/>
        <v>#DIV/0!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t="e">
        <f t="shared" si="333"/>
        <v>#DIV/0!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t="e">
        <f t="shared" si="333"/>
        <v>#DIV/0!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t="e">
        <f t="shared" si="333"/>
        <v>#DIV/0!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t="e">
        <f t="shared" si="333"/>
        <v>#DIV/0!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t="e">
        <f t="shared" si="333"/>
        <v>#DIV/0!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t="e">
        <f t="shared" si="333"/>
        <v>#DIV/0!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t="e">
        <f t="shared" si="333"/>
        <v>#DIV/0!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t="e">
        <f t="shared" si="333"/>
        <v>#DIV/0!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t="e">
        <f t="shared" si="333"/>
        <v>#DIV/0!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t="e">
        <f t="shared" si="333"/>
        <v>#DIV/0!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t="e">
        <f t="shared" si="333"/>
        <v>#DIV/0!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t="e">
        <f t="shared" si="333"/>
        <v>#DIV/0!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t="e">
        <f t="shared" si="333"/>
        <v>#DIV/0!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t="e">
        <f t="shared" si="333"/>
        <v>#DIV/0!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t="e">
        <f t="shared" si="333"/>
        <v>#DIV/0!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t="e">
        <f t="shared" si="333"/>
        <v>#DIV/0!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t="e">
        <f t="shared" si="333"/>
        <v>#DIV/0!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t="e">
        <f t="shared" si="333"/>
        <v>#DIV/0!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t="e">
        <f t="shared" si="333"/>
        <v>#DIV/0!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t="e">
        <f t="shared" si="333"/>
        <v>#DIV/0!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t="e">
        <f t="shared" si="333"/>
        <v>#DIV/0!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t="e">
        <f t="shared" si="333"/>
        <v>#DIV/0!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t="e">
        <f t="shared" si="333"/>
        <v>#DIV/0!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t="e">
        <f t="shared" si="333"/>
        <v>#DIV/0!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t="e">
        <f t="shared" si="333"/>
        <v>#DIV/0!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t="e">
        <f>ROUND($AY$6*AZ585/$AZ$5,2)</f>
        <v>#DIV/0!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t="e">
        <f>ROUND($AY$6*AZ586/$AZ$5,2)</f>
        <v>#DIV/0!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t="e">
        <f>ROUND($AY$6*AZ587/$AZ$5,2)</f>
        <v>#DIV/0!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035" t="s">
        <v>1936</v>
      </c>
      <c r="B2" s="3035"/>
      <c r="C2" s="3035"/>
      <c r="D2" s="970" t="s">
        <v>1912</v>
      </c>
      <c r="E2" s="2230" t="s">
        <v>1913</v>
      </c>
      <c r="F2" s="1395"/>
      <c r="G2" s="2231"/>
      <c r="H2" s="2232"/>
      <c r="I2" s="2233" t="s">
        <v>1937</v>
      </c>
      <c r="J2" s="1395"/>
      <c r="K2" s="1395"/>
      <c r="L2" s="1395"/>
      <c r="M2" s="1395"/>
      <c r="N2" s="1430"/>
      <c r="O2" s="1395"/>
      <c r="P2" s="1395"/>
    </row>
    <row r="3" spans="1:16" ht="15.75" thickBot="1">
      <c r="A3" s="3036" t="s">
        <v>1910</v>
      </c>
      <c r="B3" s="3036"/>
      <c r="C3" s="3036"/>
      <c r="D3" s="46">
        <f>'数据-基础表'!AY6</f>
        <v>0</v>
      </c>
      <c r="E3" s="46">
        <f>'数据-基础表'!AZ5</f>
        <v>0</v>
      </c>
      <c r="F3" s="1395"/>
      <c r="G3" s="1402"/>
      <c r="H3" s="1250" t="s">
        <v>1911</v>
      </c>
      <c r="I3" s="55">
        <f>ROUND('数据-基础表'!B3/'数据-基础表'!A3,2)</f>
        <v>1.08</v>
      </c>
      <c r="J3" s="1395"/>
      <c r="K3" s="1395"/>
      <c r="L3" s="1395"/>
      <c r="M3" s="1395"/>
      <c r="N3" s="1430"/>
      <c r="O3" s="1395"/>
      <c r="P3" s="1395"/>
    </row>
    <row r="4" spans="1:16" ht="15">
      <c r="A4" s="3037"/>
      <c r="B4" s="3038"/>
      <c r="C4" s="3039"/>
      <c r="D4" s="2234" t="s">
        <v>1912</v>
      </c>
      <c r="E4" s="2235" t="s">
        <v>1913</v>
      </c>
      <c r="F4" s="1395"/>
      <c r="G4" s="2236" t="s">
        <v>1938</v>
      </c>
      <c r="H4" s="1250" t="s">
        <v>1918</v>
      </c>
      <c r="I4" s="55">
        <f>ROUND(SUMIF('数据-基础表'!I9:AS9,"地上",'数据-基础表'!I5:AS5)/'数据-基础表'!A3,2)</f>
        <v>0.67</v>
      </c>
      <c r="J4" s="1395"/>
      <c r="K4" s="1395"/>
      <c r="L4" s="1395"/>
      <c r="M4" s="1395"/>
      <c r="N4" s="1430"/>
      <c r="O4" s="1395"/>
      <c r="P4" s="1395"/>
    </row>
    <row r="5" spans="1:16">
      <c r="A5" s="47" t="s">
        <v>1914</v>
      </c>
      <c r="B5" s="3040" t="s">
        <v>1915</v>
      </c>
      <c r="C5" s="3040"/>
      <c r="D5" s="48" t="e">
        <f>ROUND($D$3*E5/$E$3,2)</f>
        <v>#DIV/0!</v>
      </c>
      <c r="E5" s="49">
        <f>SUMIF('数据-基础表'!$11:$11,"住宅",'数据-基础表'!$5:$5)</f>
        <v>0</v>
      </c>
      <c r="F5" s="1395"/>
      <c r="G5" s="1402"/>
      <c r="H5" s="1250" t="s">
        <v>1911</v>
      </c>
      <c r="I5" s="55" t="e">
        <f>ROUND(E31/D31,2)</f>
        <v>#VALUE!</v>
      </c>
      <c r="J5" s="1395"/>
      <c r="K5" s="1395"/>
      <c r="L5" s="1395"/>
      <c r="M5" s="1395"/>
      <c r="N5" s="1395"/>
      <c r="O5" s="1395"/>
      <c r="P5" s="1395"/>
    </row>
    <row r="6" spans="1:16" ht="15" thickBot="1">
      <c r="A6" s="2237"/>
      <c r="B6" s="3040" t="s">
        <v>1916</v>
      </c>
      <c r="C6" s="3040"/>
      <c r="D6" s="48" t="e">
        <f>ROUND($D$3*E6/$E$3,2)</f>
        <v>#DIV/0!</v>
      </c>
      <c r="E6" s="49">
        <f>E3-E5</f>
        <v>0</v>
      </c>
      <c r="F6" s="1395"/>
      <c r="G6" s="2238" t="s">
        <v>1917</v>
      </c>
      <c r="H6" s="1402" t="s">
        <v>1918</v>
      </c>
      <c r="I6" s="942" t="e">
        <f>ROUND(F31/D31,2)</f>
        <v>#VALUE!</v>
      </c>
      <c r="J6" s="1395"/>
      <c r="K6" s="1395"/>
      <c r="L6" s="1395"/>
      <c r="M6" s="1395"/>
      <c r="N6" s="1395"/>
      <c r="O6" s="1395"/>
      <c r="P6" s="1395"/>
    </row>
    <row r="7" spans="1:16" ht="15">
      <c r="A7" s="3032"/>
      <c r="B7" s="3033"/>
      <c r="C7" s="3034"/>
      <c r="D7" s="2234" t="s">
        <v>1912</v>
      </c>
      <c r="E7" s="2239" t="s">
        <v>1919</v>
      </c>
      <c r="F7" s="1395"/>
      <c r="G7" s="2231" t="s">
        <v>1920</v>
      </c>
      <c r="H7" s="64"/>
      <c r="I7" s="420">
        <v>0.67</v>
      </c>
      <c r="J7" s="1395"/>
      <c r="K7" s="1395"/>
      <c r="L7" s="1395"/>
      <c r="M7" s="1395"/>
      <c r="N7" s="1395"/>
      <c r="O7" s="1395"/>
      <c r="P7" s="1395"/>
    </row>
    <row r="8" spans="1:16">
      <c r="A8" s="47" t="s">
        <v>1921</v>
      </c>
      <c r="B8" s="50" t="s">
        <v>1922</v>
      </c>
      <c r="C8" s="48" t="s">
        <v>1923</v>
      </c>
      <c r="D8" s="48" t="e">
        <f t="shared" ref="D8:D15" si="0">ROUND($D$3*E8/$E$3,2)</f>
        <v>#DIV/0!</v>
      </c>
      <c r="E8" s="51">
        <f>SUMIF('数据-基础表'!BB10:BK10,"地上",'数据-基础表'!BB5:BK5)</f>
        <v>0</v>
      </c>
      <c r="F8" s="1395"/>
      <c r="G8" s="2240"/>
      <c r="H8" s="2240"/>
      <c r="I8" s="1395"/>
      <c r="J8" s="1395"/>
      <c r="K8" s="1395"/>
      <c r="L8" s="1395"/>
      <c r="M8" s="1395"/>
      <c r="N8" s="1395"/>
      <c r="O8" s="1395"/>
      <c r="P8" s="1395"/>
    </row>
    <row r="9" spans="1:16">
      <c r="A9" s="2241"/>
      <c r="B9" s="2242"/>
      <c r="C9" s="48" t="s">
        <v>1924</v>
      </c>
      <c r="D9" s="48" t="e">
        <f t="shared" si="0"/>
        <v>#DIV/0!</v>
      </c>
      <c r="E9" s="52">
        <v>0</v>
      </c>
      <c r="F9" s="1395"/>
      <c r="G9" s="2240"/>
      <c r="H9" s="2240"/>
      <c r="I9" s="1395"/>
      <c r="J9" s="1395"/>
      <c r="K9" s="1395"/>
      <c r="L9" s="1395"/>
      <c r="M9" s="1395"/>
      <c r="N9" s="1395"/>
      <c r="O9" s="1395"/>
      <c r="P9" s="1395"/>
    </row>
    <row r="10" spans="1:16">
      <c r="A10" s="2241"/>
      <c r="B10" s="2242"/>
      <c r="C10" s="48" t="s">
        <v>1933</v>
      </c>
      <c r="D10" s="48" t="e">
        <f t="shared" si="0"/>
        <v>#DIV/0!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t="e">
        <f t="shared" si="0"/>
        <v>#DIV/0!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t="e">
        <f t="shared" si="0"/>
        <v>#DIV/0!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t="e">
        <f t="shared" si="0"/>
        <v>#DIV/0!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t="e">
        <f t="shared" si="0"/>
        <v>#DIV/0!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t="e">
        <f t="shared" si="0"/>
        <v>#DIV/0!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t="e">
        <f>SUM(D8:D15)</f>
        <v>#DIV/0!</v>
      </c>
      <c r="E16" s="53">
        <f>SUM(E8:E15)</f>
        <v>0</v>
      </c>
      <c r="F16" s="1395"/>
      <c r="G16" s="2240"/>
      <c r="H16" s="2243" t="s">
        <v>1940</v>
      </c>
      <c r="I16" s="2244"/>
      <c r="J16" s="1395"/>
      <c r="K16" s="3029" t="s">
        <v>1940</v>
      </c>
      <c r="L16" s="3030"/>
      <c r="M16" s="3030"/>
      <c r="N16" s="3030"/>
      <c r="O16" s="3030"/>
      <c r="P16" s="3031"/>
    </row>
    <row r="17" spans="1:19" ht="15">
      <c r="A17" s="2245" t="s">
        <v>1941</v>
      </c>
      <c r="B17" s="2246" t="s">
        <v>1942</v>
      </c>
      <c r="C17" s="2247" t="s">
        <v>1943</v>
      </c>
      <c r="D17" s="2248" t="s">
        <v>1931</v>
      </c>
      <c r="E17" s="2249" t="s">
        <v>1932</v>
      </c>
      <c r="F17" s="2250"/>
      <c r="G17" s="2251"/>
      <c r="H17" s="2252" t="s">
        <v>1944</v>
      </c>
      <c r="I17" s="2253" t="s">
        <v>1929</v>
      </c>
      <c r="J17" s="1395"/>
      <c r="K17" s="3026" t="s">
        <v>1945</v>
      </c>
      <c r="L17" s="3027"/>
      <c r="M17" s="3028"/>
      <c r="N17" s="3026" t="s">
        <v>1946</v>
      </c>
      <c r="O17" s="3027"/>
      <c r="P17" s="3028"/>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263"/>
      <c r="D19" s="48" t="e">
        <f>ROUND($D$3*E19/$E$3,2)</f>
        <v>#DIV/0!</v>
      </c>
      <c r="E19" s="56">
        <f t="shared" ref="E19:E26" si="1">SUM(F19:G19)</f>
        <v>8350</v>
      </c>
      <c r="F19" s="57">
        <v>8350</v>
      </c>
      <c r="G19" s="58"/>
      <c r="H19" s="723" t="e">
        <f>ROUND($D$3*I19/$E$3,2)</f>
        <v>#VALUE!</v>
      </c>
      <c r="I19" s="51" t="e">
        <f t="shared" ref="I19:I26" si="2">IF($I$17="自定义",P19,M19)</f>
        <v>#VALUE!</v>
      </c>
      <c r="J19" s="1395"/>
      <c r="K19" s="1394" t="e">
        <f t="shared" ref="K19:K26" si="3">ROUND(E$28*E19/E$27,2)</f>
        <v>#VALUE!</v>
      </c>
      <c r="L19" s="1250">
        <f t="shared" ref="L19:L26" si="4">ROUND(IF(COUNTIF(C19,"*住宅*")&gt;0,E$29*E19/E$32,0),2)</f>
        <v>0</v>
      </c>
      <c r="M19" s="1406" t="e">
        <f>K19+L19</f>
        <v>#VALUE!</v>
      </c>
      <c r="N19" s="2264"/>
      <c r="O19" s="2265"/>
      <c r="P19" s="1406">
        <f>N19+O19</f>
        <v>0</v>
      </c>
      <c r="R19" s="1250" t="e">
        <f t="shared" ref="R19:S26" si="5">D19+H19</f>
        <v>#DIV/0!</v>
      </c>
      <c r="S19" s="1251" t="e">
        <f t="shared" si="5"/>
        <v>#VALUE!</v>
      </c>
    </row>
    <row r="20" spans="1:19">
      <c r="A20" s="2266"/>
      <c r="B20" s="50" t="s">
        <v>1958</v>
      </c>
      <c r="C20" s="2263"/>
      <c r="D20" s="48" t="e">
        <f t="shared" ref="D20:D26" si="6">ROUND($D$3*E20/$E$3,2)</f>
        <v>#DIV/0!</v>
      </c>
      <c r="E20" s="56">
        <f t="shared" si="1"/>
        <v>5210</v>
      </c>
      <c r="F20" s="57"/>
      <c r="G20" s="58">
        <v>5210</v>
      </c>
      <c r="H20" s="723" t="e">
        <f t="shared" ref="H20:H26" si="7">ROUND($D$3*I20/$E$3,2)</f>
        <v>#VALUE!</v>
      </c>
      <c r="I20" s="51" t="e">
        <f t="shared" si="2"/>
        <v>#VALUE!</v>
      </c>
      <c r="J20" s="1395"/>
      <c r="K20" s="1394" t="e">
        <f t="shared" si="3"/>
        <v>#VALUE!</v>
      </c>
      <c r="L20" s="1250">
        <f t="shared" si="4"/>
        <v>0</v>
      </c>
      <c r="M20" s="1406" t="e">
        <f t="shared" ref="M20:M26" si="8">K20+L20</f>
        <v>#VALUE!</v>
      </c>
      <c r="N20" s="2264"/>
      <c r="O20" s="2265"/>
      <c r="P20" s="1406">
        <f t="shared" ref="P20:P26" si="9">N20+O20</f>
        <v>0</v>
      </c>
      <c r="R20" s="1250" t="e">
        <f t="shared" si="5"/>
        <v>#DIV/0!</v>
      </c>
      <c r="S20" s="1251" t="e">
        <f t="shared" si="5"/>
        <v>#VALUE!</v>
      </c>
    </row>
    <row r="21" spans="1:19">
      <c r="A21" s="2266"/>
      <c r="B21" s="50" t="s">
        <v>1958</v>
      </c>
      <c r="C21" s="2263"/>
      <c r="D21" s="48" t="e">
        <f t="shared" si="6"/>
        <v>#DIV/0!</v>
      </c>
      <c r="E21" s="56">
        <f t="shared" si="1"/>
        <v>0</v>
      </c>
      <c r="F21" s="57"/>
      <c r="G21" s="58"/>
      <c r="H21" s="723" t="e">
        <f t="shared" si="7"/>
        <v>#VALUE!</v>
      </c>
      <c r="I21" s="51" t="e">
        <f t="shared" si="2"/>
        <v>#VALUE!</v>
      </c>
      <c r="J21" s="1395"/>
      <c r="K21" s="1394" t="e">
        <f t="shared" si="3"/>
        <v>#VALUE!</v>
      </c>
      <c r="L21" s="1250">
        <f t="shared" si="4"/>
        <v>0</v>
      </c>
      <c r="M21" s="1406" t="e">
        <f t="shared" si="8"/>
        <v>#VALUE!</v>
      </c>
      <c r="N21" s="2264"/>
      <c r="O21" s="2265"/>
      <c r="P21" s="1406">
        <f t="shared" si="9"/>
        <v>0</v>
      </c>
      <c r="R21" s="1250" t="e">
        <f t="shared" si="5"/>
        <v>#DIV/0!</v>
      </c>
      <c r="S21" s="1251" t="e">
        <f t="shared" si="5"/>
        <v>#VALUE!</v>
      </c>
    </row>
    <row r="22" spans="1:19">
      <c r="A22" s="2266"/>
      <c r="B22" s="50" t="s">
        <v>1958</v>
      </c>
      <c r="C22" s="60"/>
      <c r="D22" s="48" t="e">
        <f t="shared" si="6"/>
        <v>#DIV/0!</v>
      </c>
      <c r="E22" s="56">
        <f t="shared" si="1"/>
        <v>0</v>
      </c>
      <c r="F22" s="61"/>
      <c r="G22" s="62"/>
      <c r="H22" s="723" t="e">
        <f t="shared" si="7"/>
        <v>#VALUE!</v>
      </c>
      <c r="I22" s="51" t="e">
        <f t="shared" si="2"/>
        <v>#VALUE!</v>
      </c>
      <c r="J22" s="1395"/>
      <c r="K22" s="1394" t="e">
        <f t="shared" si="3"/>
        <v>#VALUE!</v>
      </c>
      <c r="L22" s="1250">
        <f t="shared" si="4"/>
        <v>0</v>
      </c>
      <c r="M22" s="1406" t="e">
        <f t="shared" si="8"/>
        <v>#VALUE!</v>
      </c>
      <c r="N22" s="2264"/>
      <c r="O22" s="2265"/>
      <c r="P22" s="1406">
        <f t="shared" si="9"/>
        <v>0</v>
      </c>
      <c r="R22" s="1250" t="e">
        <f t="shared" si="5"/>
        <v>#DIV/0!</v>
      </c>
      <c r="S22" s="1251" t="e">
        <f t="shared" si="5"/>
        <v>#VALUE!</v>
      </c>
    </row>
    <row r="23" spans="1:19">
      <c r="A23" s="2266"/>
      <c r="B23" s="50" t="s">
        <v>1958</v>
      </c>
      <c r="C23" s="60"/>
      <c r="D23" s="48" t="e">
        <f>ROUND($D$3*E23/$E$3,2)</f>
        <v>#DIV/0!</v>
      </c>
      <c r="E23" s="56">
        <f>SUM(F23:G23)</f>
        <v>0</v>
      </c>
      <c r="F23" s="61"/>
      <c r="G23" s="62"/>
      <c r="H23" s="723" t="e">
        <f>ROUND($D$3*I23/$E$3,2)</f>
        <v>#VALUE!</v>
      </c>
      <c r="I23" s="51" t="e">
        <f t="shared" si="2"/>
        <v>#VALUE!</v>
      </c>
      <c r="J23" s="1395"/>
      <c r="K23" s="1394" t="e">
        <f t="shared" si="3"/>
        <v>#VALUE!</v>
      </c>
      <c r="L23" s="1250">
        <f t="shared" si="4"/>
        <v>0</v>
      </c>
      <c r="M23" s="1406" t="e">
        <f t="shared" si="8"/>
        <v>#VALUE!</v>
      </c>
      <c r="N23" s="2264"/>
      <c r="O23" s="2265"/>
      <c r="P23" s="1406">
        <f t="shared" si="9"/>
        <v>0</v>
      </c>
      <c r="R23" s="1250" t="e">
        <f t="shared" si="5"/>
        <v>#DIV/0!</v>
      </c>
      <c r="S23" s="1251" t="e">
        <f t="shared" si="5"/>
        <v>#VALUE!</v>
      </c>
    </row>
    <row r="24" spans="1:19">
      <c r="A24" s="2266"/>
      <c r="B24" s="50" t="s">
        <v>1958</v>
      </c>
      <c r="C24" s="60"/>
      <c r="D24" s="48" t="e">
        <f>ROUND($D$3*E24/$E$3,2)</f>
        <v>#DIV/0!</v>
      </c>
      <c r="E24" s="56">
        <f>SUM(F24:G24)</f>
        <v>0</v>
      </c>
      <c r="F24" s="61"/>
      <c r="G24" s="62"/>
      <c r="H24" s="723" t="e">
        <f>ROUND($D$3*I24/$E$3,2)</f>
        <v>#VALUE!</v>
      </c>
      <c r="I24" s="51" t="e">
        <f t="shared" si="2"/>
        <v>#VALUE!</v>
      </c>
      <c r="J24" s="1395"/>
      <c r="K24" s="1394" t="e">
        <f t="shared" si="3"/>
        <v>#VALUE!</v>
      </c>
      <c r="L24" s="1250">
        <f t="shared" si="4"/>
        <v>0</v>
      </c>
      <c r="M24" s="1406" t="e">
        <f t="shared" si="8"/>
        <v>#VALUE!</v>
      </c>
      <c r="N24" s="2264"/>
      <c r="O24" s="2265"/>
      <c r="P24" s="1406">
        <f t="shared" si="9"/>
        <v>0</v>
      </c>
      <c r="R24" s="1250" t="e">
        <f t="shared" si="5"/>
        <v>#DIV/0!</v>
      </c>
      <c r="S24" s="1251" t="e">
        <f t="shared" si="5"/>
        <v>#VALUE!</v>
      </c>
    </row>
    <row r="25" spans="1:19">
      <c r="A25" s="2266"/>
      <c r="B25" s="50" t="s">
        <v>1958</v>
      </c>
      <c r="C25" s="60"/>
      <c r="D25" s="48" t="e">
        <f t="shared" si="6"/>
        <v>#DIV/0!</v>
      </c>
      <c r="E25" s="56">
        <f t="shared" si="1"/>
        <v>0</v>
      </c>
      <c r="F25" s="61"/>
      <c r="G25" s="62"/>
      <c r="H25" s="47" t="e">
        <f t="shared" si="7"/>
        <v>#VALUE!</v>
      </c>
      <c r="I25" s="51" t="e">
        <f t="shared" si="2"/>
        <v>#VALUE!</v>
      </c>
      <c r="J25" s="1395"/>
      <c r="K25" s="1394" t="e">
        <f t="shared" si="3"/>
        <v>#VALUE!</v>
      </c>
      <c r="L25" s="1250">
        <f t="shared" si="4"/>
        <v>0</v>
      </c>
      <c r="M25" s="1406" t="e">
        <f t="shared" si="8"/>
        <v>#VALUE!</v>
      </c>
      <c r="N25" s="2264"/>
      <c r="O25" s="2265"/>
      <c r="P25" s="1406">
        <f t="shared" si="9"/>
        <v>0</v>
      </c>
      <c r="R25" s="1250" t="e">
        <f t="shared" si="5"/>
        <v>#DIV/0!</v>
      </c>
      <c r="S25" s="1251" t="e">
        <f t="shared" si="5"/>
        <v>#VALUE!</v>
      </c>
    </row>
    <row r="26" spans="1:19">
      <c r="A26" s="2266"/>
      <c r="B26" s="50" t="s">
        <v>1958</v>
      </c>
      <c r="C26" s="63"/>
      <c r="D26" s="48" t="e">
        <f t="shared" si="6"/>
        <v>#DIV/0!</v>
      </c>
      <c r="E26" s="56">
        <f t="shared" si="1"/>
        <v>0</v>
      </c>
      <c r="F26" s="61"/>
      <c r="G26" s="62"/>
      <c r="H26" s="47" t="e">
        <f t="shared" si="7"/>
        <v>#VALUE!</v>
      </c>
      <c r="I26" s="51" t="e">
        <f t="shared" si="2"/>
        <v>#VALUE!</v>
      </c>
      <c r="J26" s="1395"/>
      <c r="K26" s="1401" t="e">
        <f t="shared" si="3"/>
        <v>#VALUE!</v>
      </c>
      <c r="L26" s="1402">
        <f t="shared" si="4"/>
        <v>0</v>
      </c>
      <c r="M26" s="67" t="e">
        <f t="shared" si="8"/>
        <v>#VALUE!</v>
      </c>
      <c r="N26" s="2267"/>
      <c r="O26" s="2268"/>
      <c r="P26" s="67">
        <f t="shared" si="9"/>
        <v>0</v>
      </c>
      <c r="R26" s="1250" t="e">
        <f t="shared" si="5"/>
        <v>#DIV/0!</v>
      </c>
      <c r="S26" s="1251" t="e">
        <f t="shared" si="5"/>
        <v>#VALUE!</v>
      </c>
    </row>
    <row r="27" spans="1:19" ht="15.75" thickBot="1">
      <c r="A27" s="2266"/>
      <c r="B27" s="48"/>
      <c r="C27" s="2269" t="s">
        <v>1959</v>
      </c>
      <c r="D27" s="1396" t="e">
        <f>SUM(D19:D26)</f>
        <v>#DIV/0!</v>
      </c>
      <c r="E27" s="1397" t="str">
        <f>IF(SUM(E19:E26)='数据-基础表'!BA5,SUM(E19:E26),IF(F27="地上面积有误","面积有误","地下面积有误"))</f>
        <v>面积有误</v>
      </c>
      <c r="F27" s="1396" t="str">
        <f>IF(SUM(F19:F26)=E8,SUM(F19:F26),"地上面积有误")</f>
        <v>地上面积有误</v>
      </c>
      <c r="G27" s="1398">
        <f>SUM(G19:G26)</f>
        <v>5210</v>
      </c>
      <c r="H27" s="1399" t="e">
        <f>SUM(H19:H26)</f>
        <v>#VALUE!</v>
      </c>
      <c r="I27" s="1400" t="e">
        <f>SUM(I19:I26)</f>
        <v>#VALUE!</v>
      </c>
      <c r="J27" s="1395"/>
      <c r="K27" s="1403" t="e">
        <f>SUM(K19:K26)</f>
        <v>#VALUE!</v>
      </c>
      <c r="L27" s="1404">
        <f>SUM(L19:L26)</f>
        <v>0</v>
      </c>
      <c r="M27" s="1407" t="e">
        <f>SUM(M19:M26)</f>
        <v>#VALUE!</v>
      </c>
      <c r="N27" s="1403">
        <f t="shared" ref="N27:O27" si="10">SUM(N19:N26)</f>
        <v>0</v>
      </c>
      <c r="O27" s="1404">
        <f t="shared" si="10"/>
        <v>0</v>
      </c>
      <c r="P27" s="1405">
        <f>SUM(P19:P26)</f>
        <v>0</v>
      </c>
      <c r="R27" s="1252" t="e">
        <f>IF(SUM(R19:R26)=$D$3,SUM(R19:R26),SUM(R19:R26)&amp;"误差"&amp;ROUND(SUM(R19:R26)-$D$3,2))</f>
        <v>#DIV/0!</v>
      </c>
      <c r="S27" s="1250" t="e">
        <f>IF(SUM(S19:S26)=$E$3,SUM(S19:S26),SUM(S19:S26)&amp;"误差"&amp;ROUND(SUM(S19:S26)-E3,2))</f>
        <v>#VALUE!</v>
      </c>
    </row>
    <row r="28" spans="1:19">
      <c r="A28" s="2266"/>
      <c r="B28" s="50" t="s">
        <v>1960</v>
      </c>
      <c r="C28" s="1262" t="s">
        <v>1961</v>
      </c>
      <c r="D28" s="48" t="e">
        <f>ROUND($D$3*E28/$E$3,2)</f>
        <v>#DIV/0!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t="e">
        <f>ROUND($D$3*E29/$E$3,2)</f>
        <v>#DIV/0!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t="e">
        <f>SUM(D28:D29)</f>
        <v>#DIV/0!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t="e">
        <f>D27+D30</f>
        <v>#DIV/0!</v>
      </c>
      <c r="E31" s="729" t="e">
        <f>E27+E30</f>
        <v>#VALUE!</v>
      </c>
      <c r="F31" s="730" t="e">
        <f>F27+F30</f>
        <v>#VALUE!</v>
      </c>
      <c r="G31" s="731">
        <f>G27+G30</f>
        <v>5210</v>
      </c>
      <c r="H31" s="1395"/>
      <c r="I31" s="1395"/>
      <c r="J31" s="1395"/>
      <c r="K31" s="1395"/>
      <c r="L31" s="1395"/>
      <c r="M31" s="1395"/>
      <c r="N31" s="1395"/>
      <c r="O31" s="1395"/>
      <c r="P31" s="1395"/>
    </row>
    <row r="32" spans="1:19">
      <c r="A32" s="2236"/>
      <c r="B32" s="2236" t="s">
        <v>1964</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1966</v>
      </c>
      <c r="B2" s="1269">
        <f>项目基本情况!D3</f>
        <v>43465</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1986</v>
      </c>
      <c r="O5" s="2299" t="s">
        <v>1987</v>
      </c>
      <c r="P5" s="2302" t="s">
        <v>1988</v>
      </c>
      <c r="Q5" s="69" t="s">
        <v>1989</v>
      </c>
      <c r="R5" s="2303" t="s">
        <v>1990</v>
      </c>
      <c r="S5" s="2304" t="s">
        <v>1991</v>
      </c>
      <c r="T5" s="2305" t="s">
        <v>1992</v>
      </c>
      <c r="U5" s="1270" t="s">
        <v>1993</v>
      </c>
      <c r="V5" s="1271" t="s">
        <v>1994</v>
      </c>
      <c r="W5" s="1271" t="s">
        <v>1995</v>
      </c>
      <c r="X5" s="71"/>
      <c r="Y5" s="70" t="s">
        <v>1996</v>
      </c>
      <c r="Z5" s="2306" t="s">
        <v>1993</v>
      </c>
      <c r="AA5" s="1271" t="s">
        <v>1994</v>
      </c>
      <c r="AB5" s="1271" t="s">
        <v>1995</v>
      </c>
      <c r="AC5" s="71"/>
      <c r="AD5" s="71" t="s">
        <v>1996</v>
      </c>
      <c r="AE5" s="1270" t="s">
        <v>1997</v>
      </c>
      <c r="AF5" s="1271" t="s">
        <v>1998</v>
      </c>
      <c r="AG5" s="70" t="s">
        <v>1999</v>
      </c>
      <c r="AH5" s="1270" t="s">
        <v>2000</v>
      </c>
      <c r="AI5" s="2306" t="s">
        <v>2001</v>
      </c>
      <c r="AJ5" s="2306" t="s">
        <v>2002</v>
      </c>
      <c r="AK5" s="1271" t="s">
        <v>2003</v>
      </c>
      <c r="AL5" s="1271" t="s">
        <v>2004</v>
      </c>
      <c r="AM5" s="70" t="s">
        <v>2005</v>
      </c>
      <c r="AN5" s="2307" t="s">
        <v>2006</v>
      </c>
      <c r="AO5" s="2077" t="s">
        <v>2007</v>
      </c>
      <c r="AP5" s="1252" t="s">
        <v>2008</v>
      </c>
      <c r="AQ5" s="2308" t="s">
        <v>2009</v>
      </c>
      <c r="AR5" s="2308"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f>'数据-汇总表'!C19</f>
        <v>0</v>
      </c>
      <c r="B6" s="2310" t="str">
        <f>IF(A6=0,"","经营性")</f>
        <v/>
      </c>
      <c r="C6" s="2311" t="s">
        <v>27</v>
      </c>
      <c r="D6" s="1054">
        <f>SUMIF(项目基本情况!D$12:I$12,C6,项目基本情况!D$14:I$14)</f>
        <v>50</v>
      </c>
      <c r="E6" s="1051" t="str">
        <f>IF(B6="","",SUMIF(项目基本情况!D$12:I$12,C6,项目基本情况!D$13:I$13))</f>
        <v/>
      </c>
      <c r="F6" s="72">
        <f>SUMIF(项目基本情况!D$12:I$12,C6,项目基本情况!D$15:I$15)</f>
        <v>50</v>
      </c>
      <c r="G6" s="73">
        <f>IF(ISERROR(ROUND(POWER(1+H6,D6-F6)*(POWER(1+H6,F6)-1)/(POWER(1+H6,D6)-1),3)),0,ROUND(POWER(1+H6,D6-F6)*(POWER(1+H6,F6)-1)/(POWER(1+H6,D6)-1),3))</f>
        <v>0</v>
      </c>
      <c r="H6" s="802"/>
      <c r="I6" s="802"/>
      <c r="J6" s="74"/>
      <c r="K6" s="1254">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12"/>
      <c r="AO6" s="55" t="e">
        <f ca="1">SUMIF(INDIRECT("'"&amp;AN6&amp;"'"&amp;"!A:A"),"总价",INDIRECT("'"&amp;AN6&amp;"'"&amp;"!B:B"))</f>
        <v>#REF!</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2011</v>
      </c>
      <c r="B14" s="2310" t="s">
        <v>2012</v>
      </c>
      <c r="C14" s="2315" t="s">
        <v>2011</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2013</v>
      </c>
      <c r="B15" s="2310" t="s">
        <v>2012</v>
      </c>
      <c r="C15" s="2315"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2015</v>
      </c>
      <c r="B16" s="97"/>
      <c r="C16" s="1008"/>
      <c r="D16" s="2317"/>
      <c r="E16" s="97"/>
      <c r="F16" s="97"/>
      <c r="G16" s="98" t="e">
        <f>ROUND(SUMPRODUCT(G6:G13,K6:K13)/SUMPRODUCT((G6:G13&gt;0)*(K6:K13)),3)</f>
        <v>#DIV/0!</v>
      </c>
      <c r="H16" s="99" t="e">
        <f>ROUND(SUMPRODUCT(H6:H13,K6:K13)/SUMPRODUCT((H6:H13&gt;0)*(K6:K13)),3)</f>
        <v>#DIV/0!</v>
      </c>
      <c r="I16" s="100"/>
      <c r="J16" s="100"/>
      <c r="K16" s="101">
        <f>SUM(K6:K15)</f>
        <v>0</v>
      </c>
      <c r="L16" s="102" t="e">
        <f>ROUND(M16*10000/SUM(K6:K14),0)</f>
        <v>#DIV/0!</v>
      </c>
      <c r="M16" s="102">
        <f>SUM(M6:M14)</f>
        <v>0</v>
      </c>
      <c r="N16" s="103" t="e">
        <f>ROUND(SUMPRODUCT(M6:M14,N6:N14)/M16,3)</f>
        <v>#DIV/0!</v>
      </c>
      <c r="O16" s="102">
        <f>SUM(O6:O14)</f>
        <v>0</v>
      </c>
      <c r="P16" s="102">
        <f>SUM(P6:P14)</f>
        <v>0</v>
      </c>
      <c r="Q16" s="104" t="e">
        <f>ROUND(SUMPRODUCT(Q6:Q13,K6:K13)/SUMPRODUCT((Q6:Q13&gt;0)*(K6:K13)),2)</f>
        <v>#DIV/0!</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2017</v>
      </c>
      <c r="B19" s="112">
        <v>0</v>
      </c>
      <c r="C19" s="2280" t="s">
        <v>2018</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2019</v>
      </c>
      <c r="B20" s="113">
        <v>2</v>
      </c>
      <c r="C20" s="2280" t="s">
        <v>2020</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2021</v>
      </c>
      <c r="B21" s="113">
        <v>0</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2022</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2023</v>
      </c>
      <c r="B23" s="114">
        <f>B19+B21</f>
        <v>0</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2024</v>
      </c>
      <c r="B24" s="115">
        <f>B20-B21</f>
        <v>2</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2025</v>
      </c>
      <c r="B26" s="2323" t="s">
        <v>2026</v>
      </c>
      <c r="C26" s="2324" t="s">
        <v>2027</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2028</v>
      </c>
      <c r="B27" s="116">
        <v>160</v>
      </c>
      <c r="C27" s="1767" t="s">
        <v>2029</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2030</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2031</v>
      </c>
      <c r="B29" s="121"/>
      <c r="C29" s="1767" t="s">
        <v>2032</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2033</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2034</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2035</v>
      </c>
      <c r="B32" s="725"/>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2036</v>
      </c>
      <c r="B33" s="726"/>
      <c r="C33" s="1766" t="s">
        <v>2037</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2038</v>
      </c>
      <c r="B34" s="122"/>
      <c r="C34" s="1766" t="s">
        <v>2039</v>
      </c>
      <c r="D34" s="2281" t="s">
        <v>2040</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2041</v>
      </c>
      <c r="B35" s="119"/>
      <c r="C35" s="1766" t="s">
        <v>2042</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2043</v>
      </c>
      <c r="B36" s="123"/>
      <c r="C36" s="1766" t="s">
        <v>2044</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2045</v>
      </c>
      <c r="B37" s="124"/>
      <c r="C37" s="1766" t="s">
        <v>2046</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2047</v>
      </c>
      <c r="B38" s="122"/>
      <c r="C38" s="1766" t="s">
        <v>2046</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2048</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2049</v>
      </c>
      <c r="B40" s="1303">
        <f ca="1">存贷款利率!G1</f>
        <v>4.7500000000000001E-2</v>
      </c>
      <c r="C40" s="1766" t="s">
        <v>2050</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2051</v>
      </c>
      <c r="B41" s="125">
        <f>B42+B43</f>
        <v>0</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2052</v>
      </c>
      <c r="B42" s="126"/>
      <c r="C42" s="2334">
        <f>IF(B2&lt;DATE(2016,5,1),0,B42)</f>
        <v>0</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2053</v>
      </c>
      <c r="B43" s="127">
        <f>B42*(B44+B45+B46)+B47</f>
        <v>0</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2054</v>
      </c>
      <c r="B44" s="128"/>
      <c r="C44" s="1766" t="s">
        <v>2055</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2056</v>
      </c>
      <c r="B45" s="126"/>
      <c r="C45" s="1767" t="s">
        <v>2057</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2058</v>
      </c>
      <c r="B46" s="126"/>
      <c r="C46" s="1767" t="s">
        <v>2059</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2060</v>
      </c>
      <c r="B47" s="129"/>
      <c r="C47" s="1767" t="s">
        <v>2061</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2062</v>
      </c>
      <c r="B48" s="130"/>
      <c r="C48" s="1774" t="s">
        <v>2063</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2064</v>
      </c>
      <c r="B49" s="126"/>
      <c r="C49" s="1774" t="s">
        <v>2065</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2066</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2067</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2068</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2069</v>
      </c>
      <c r="B53" s="2339"/>
      <c r="C53" s="1430" t="s">
        <v>2070</v>
      </c>
      <c r="D53" s="2340" t="s">
        <v>2071</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2072</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2073</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2074</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2075</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2076</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2077</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2078</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2079</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2080</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2081</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41" t="s">
        <v>2082</v>
      </c>
      <c r="B1" s="3042"/>
      <c r="C1" s="3042"/>
      <c r="D1" s="3042"/>
      <c r="E1" s="3042"/>
      <c r="F1" s="3042"/>
      <c r="G1" s="3042"/>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2083</v>
      </c>
      <c r="D2" s="2369"/>
      <c r="E2" s="2370"/>
      <c r="F2" s="2289"/>
      <c r="G2" s="2368" t="s">
        <v>2084</v>
      </c>
      <c r="H2" s="2371"/>
      <c r="I2" s="2371"/>
      <c r="J2" s="2371"/>
      <c r="K2" s="2371"/>
      <c r="L2" s="2371"/>
      <c r="M2" s="2371"/>
      <c r="N2" s="2371"/>
      <c r="O2" s="2371"/>
      <c r="P2" s="2371"/>
      <c r="Q2" s="2371"/>
      <c r="R2" s="2371"/>
    </row>
    <row r="3" spans="1:29" ht="54">
      <c r="A3" s="415" t="s">
        <v>2085</v>
      </c>
      <c r="B3" s="1271" t="s">
        <v>2086</v>
      </c>
      <c r="C3" s="2373" t="s">
        <v>2087</v>
      </c>
      <c r="D3" s="2374"/>
      <c r="E3" s="431" t="s">
        <v>2085</v>
      </c>
      <c r="F3" s="2375" t="s">
        <v>2088</v>
      </c>
      <c r="G3" s="2376" t="s">
        <v>2089</v>
      </c>
      <c r="H3" s="2371"/>
      <c r="I3" s="2371"/>
      <c r="J3" s="2371"/>
      <c r="K3" s="2371"/>
      <c r="L3" s="2371"/>
      <c r="M3" s="2371"/>
      <c r="N3" s="2371"/>
      <c r="O3" s="2371"/>
      <c r="P3" s="2371"/>
      <c r="Q3" s="2371"/>
      <c r="R3" s="2371"/>
    </row>
    <row r="4" spans="1:29" ht="41.25">
      <c r="A4" s="431"/>
      <c r="B4" s="1798" t="s">
        <v>2090</v>
      </c>
      <c r="C4" s="2377" t="s">
        <v>2091</v>
      </c>
      <c r="D4" s="2374"/>
      <c r="E4" s="2378"/>
      <c r="F4" s="42" t="s">
        <v>2092</v>
      </c>
      <c r="G4" s="2379" t="s">
        <v>2093</v>
      </c>
      <c r="H4" s="2371"/>
      <c r="I4" s="2371"/>
      <c r="J4" s="2371"/>
      <c r="K4" s="2371"/>
      <c r="L4" s="2371"/>
      <c r="M4" s="2371"/>
      <c r="N4" s="2371"/>
      <c r="O4" s="2371"/>
      <c r="P4" s="2371"/>
      <c r="Q4" s="2371"/>
      <c r="R4" s="2371"/>
    </row>
    <row r="5" spans="1:29" ht="41.25">
      <c r="A5" s="431"/>
      <c r="B5" s="1798" t="s">
        <v>2094</v>
      </c>
      <c r="C5" s="2377" t="s">
        <v>2095</v>
      </c>
      <c r="D5" s="2374"/>
      <c r="E5" s="2378"/>
      <c r="F5" s="1798" t="s">
        <v>2096</v>
      </c>
      <c r="G5" s="2379" t="s">
        <v>2097</v>
      </c>
      <c r="H5" s="2371"/>
      <c r="I5" s="2371"/>
      <c r="J5" s="2371"/>
      <c r="K5" s="2371"/>
      <c r="L5" s="2371"/>
      <c r="M5" s="2371"/>
      <c r="N5" s="2371"/>
      <c r="O5" s="2371"/>
      <c r="P5" s="2371"/>
      <c r="Q5" s="2371"/>
      <c r="R5" s="2371"/>
    </row>
    <row r="6" spans="1:29" ht="54">
      <c r="A6" s="431"/>
      <c r="B6" s="1798" t="s">
        <v>2098</v>
      </c>
      <c r="C6" s="2379" t="s">
        <v>2093</v>
      </c>
      <c r="D6" s="2374"/>
      <c r="E6" s="2378"/>
      <c r="F6" s="1798" t="s">
        <v>2099</v>
      </c>
      <c r="G6" s="2379" t="s">
        <v>2100</v>
      </c>
      <c r="H6" s="2371"/>
      <c r="I6" s="2371"/>
      <c r="J6" s="2371"/>
      <c r="K6" s="2371"/>
      <c r="L6" s="2371"/>
      <c r="M6" s="2371"/>
      <c r="N6" s="2371"/>
      <c r="O6" s="2371"/>
      <c r="P6" s="2371"/>
      <c r="Q6" s="2371"/>
      <c r="R6" s="2371"/>
    </row>
    <row r="7" spans="1:29" ht="41.25" thickBot="1">
      <c r="A7" s="431"/>
      <c r="B7" s="1798" t="s">
        <v>2096</v>
      </c>
      <c r="C7" s="2379" t="s">
        <v>2097</v>
      </c>
      <c r="D7" s="2380"/>
      <c r="E7" s="2381"/>
      <c r="F7" s="2382" t="s">
        <v>2101</v>
      </c>
      <c r="G7" s="2383" t="s">
        <v>2102</v>
      </c>
      <c r="H7" s="2371"/>
      <c r="I7" s="2371"/>
      <c r="J7" s="2371"/>
      <c r="K7" s="2371"/>
      <c r="L7" s="2371"/>
      <c r="M7" s="2371"/>
      <c r="N7" s="2371"/>
      <c r="O7" s="2371"/>
      <c r="P7" s="2371"/>
      <c r="Q7" s="2371"/>
      <c r="R7" s="2371"/>
    </row>
    <row r="8" spans="1:29" ht="27">
      <c r="A8" s="431"/>
      <c r="B8" s="1798" t="s">
        <v>2099</v>
      </c>
      <c r="C8" s="2379" t="s">
        <v>2100</v>
      </c>
      <c r="D8" s="2380"/>
      <c r="E8" s="2380"/>
      <c r="F8" s="1136"/>
      <c r="G8" s="1136"/>
      <c r="H8" s="2371"/>
      <c r="I8" s="2371"/>
      <c r="J8" s="2371"/>
      <c r="K8" s="2371"/>
      <c r="L8" s="2371"/>
      <c r="M8" s="2371"/>
      <c r="N8" s="2371"/>
      <c r="O8" s="2371"/>
      <c r="P8" s="2371"/>
      <c r="Q8" s="2371"/>
      <c r="R8" s="2371"/>
    </row>
    <row r="9" spans="1:29" ht="27">
      <c r="A9" s="431"/>
      <c r="B9" s="1798" t="s">
        <v>2103</v>
      </c>
      <c r="C9" s="2377" t="s">
        <v>2104</v>
      </c>
      <c r="D9" s="2374"/>
      <c r="E9" s="2380"/>
      <c r="F9" s="1136"/>
      <c r="G9" s="1136"/>
      <c r="H9" s="2371"/>
      <c r="I9" s="2371"/>
      <c r="J9" s="2371"/>
      <c r="K9" s="2371"/>
      <c r="L9" s="2371"/>
      <c r="M9" s="2371"/>
      <c r="N9" s="2371"/>
      <c r="O9" s="2371"/>
      <c r="P9" s="2371"/>
      <c r="Q9" s="2371"/>
      <c r="R9" s="2371"/>
    </row>
    <row r="10" spans="1:29" s="117" customFormat="1" ht="15.75" thickBot="1">
      <c r="A10" s="2384"/>
      <c r="B10" s="2385" t="s">
        <v>2105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2106</v>
      </c>
      <c r="B13" s="2391"/>
      <c r="C13" s="2391"/>
      <c r="D13" s="2398"/>
      <c r="E13" s="2391"/>
      <c r="F13" s="2391"/>
      <c r="G13" s="2391"/>
    </row>
    <row r="14" spans="1:29" ht="15.75" thickBot="1">
      <c r="A14" s="2402"/>
      <c r="B14" s="2403"/>
      <c r="C14" s="2404" t="s">
        <v>2107</v>
      </c>
      <c r="D14" s="2374"/>
      <c r="E14" s="2405"/>
      <c r="F14" s="2405"/>
      <c r="G14" s="2368" t="s">
        <v>2108</v>
      </c>
    </row>
    <row r="15" spans="1:29" ht="57">
      <c r="A15" s="68" t="s">
        <v>2109</v>
      </c>
      <c r="B15" s="1270" t="s">
        <v>2086</v>
      </c>
      <c r="C15" s="2406" t="str">
        <f>C3</f>
        <v>估价对象周边居住用地比例、居住小区规模和社区发展完善程度，综合评价居住社区成熟度一般</v>
      </c>
      <c r="D15" s="2374"/>
      <c r="E15" s="2407" t="s">
        <v>2110</v>
      </c>
      <c r="F15" s="1270" t="s">
        <v>2111</v>
      </c>
      <c r="G15" s="135" t="str">
        <f>G3</f>
        <v>估价对象位于XX开发区，园区建设成熟度XX，产业集聚程度XX</v>
      </c>
    </row>
    <row r="16" spans="1:29" ht="42.75">
      <c r="A16" s="645"/>
      <c r="B16" s="2408" t="s">
        <v>2090</v>
      </c>
      <c r="C16" s="2409" t="str">
        <f>C4</f>
        <v>估价对象位于XX商圈，周边商业氛围成熟，人流量大，商业繁华度好</v>
      </c>
      <c r="D16" s="2374"/>
      <c r="E16" s="2410"/>
      <c r="F16" s="2411" t="s">
        <v>2092</v>
      </c>
      <c r="G16" s="136" t="str">
        <f>G4</f>
        <v>估价对象周边道路状况、公共交通通达情况、停车便捷程度，综合评价交通便捷度较好</v>
      </c>
    </row>
    <row r="17" spans="1:18" ht="42.75">
      <c r="A17" s="645"/>
      <c r="B17" s="2408" t="s">
        <v>2094</v>
      </c>
      <c r="C17" s="2409" t="str">
        <f>C5</f>
        <v>估价对象位于XX商圈，周边办公楼项目较多，入驻率高，办公集聚程度较好</v>
      </c>
      <c r="D17" s="2380"/>
      <c r="E17" s="2410"/>
      <c r="F17" s="2411" t="s">
        <v>2112</v>
      </c>
      <c r="G17" s="1572"/>
    </row>
    <row r="18" spans="1:18" ht="57">
      <c r="A18" s="645"/>
      <c r="B18" s="2411" t="s">
        <v>2098</v>
      </c>
      <c r="C18" s="136" t="str">
        <f>C6</f>
        <v>估价对象周边道路状况、公共交通通达情况、停车便捷程度，综合评价交通便捷度较好</v>
      </c>
      <c r="D18" s="2380"/>
      <c r="E18" s="2410"/>
      <c r="F18" s="2411" t="s">
        <v>2101</v>
      </c>
      <c r="G18" s="136" t="str">
        <f>G7</f>
        <v>该园区内是否有污染型企业，绿化情况，卫生条件，整体环境状况判断</v>
      </c>
    </row>
    <row r="19" spans="1:18" ht="28.5">
      <c r="A19" s="645"/>
      <c r="B19" s="2411" t="s">
        <v>2113</v>
      </c>
      <c r="C19" s="1572"/>
      <c r="D19" s="2374"/>
      <c r="E19" s="2410"/>
      <c r="F19" s="1798" t="s">
        <v>2096</v>
      </c>
      <c r="G19" s="136" t="str">
        <f>G5</f>
        <v>估价对象所在区域公共配套设施齐备情况</v>
      </c>
    </row>
    <row r="20" spans="1:18" ht="28.5">
      <c r="A20" s="645"/>
      <c r="B20" s="2411" t="s">
        <v>2114</v>
      </c>
      <c r="C20" s="2409" t="str">
        <f>C9</f>
        <v>区域自然环境：；人文环境；综合评价环境状况一般</v>
      </c>
      <c r="D20" s="2380"/>
      <c r="E20" s="2410"/>
      <c r="F20" s="1798" t="s">
        <v>2115</v>
      </c>
      <c r="G20" s="136" t="str">
        <f>G6</f>
        <v>估价对象所在区域基础设施水平</v>
      </c>
    </row>
    <row r="21" spans="1:18" ht="28.5">
      <c r="A21" s="645"/>
      <c r="B21" s="1798" t="s">
        <v>2096</v>
      </c>
      <c r="C21" s="136" t="str">
        <f>C7</f>
        <v>估价对象所在区域公共配套设施齐备情况</v>
      </c>
      <c r="D21" s="2374"/>
      <c r="E21" s="2410"/>
      <c r="F21" s="2411" t="s">
        <v>2116</v>
      </c>
      <c r="G21" s="2412"/>
    </row>
    <row r="22" spans="1:18" ht="13.5" customHeight="1">
      <c r="A22" s="645"/>
      <c r="B22" s="1798" t="s">
        <v>2099</v>
      </c>
      <c r="C22" s="136" t="str">
        <f>C8</f>
        <v>估价对象所在区域基础设施水平</v>
      </c>
      <c r="D22" s="2374"/>
      <c r="E22" s="2410"/>
      <c r="F22" s="2411" t="s">
        <v>2105</v>
      </c>
      <c r="G22" s="1572"/>
    </row>
    <row r="23" spans="1:18" s="2371" customFormat="1" ht="15.75" thickBot="1">
      <c r="A23" s="645"/>
      <c r="B23" s="2411" t="s">
        <v>2116</v>
      </c>
      <c r="C23" s="2412"/>
      <c r="D23" s="2399"/>
      <c r="E23" s="2413"/>
      <c r="F23" s="2414" t="s">
        <v>2117</v>
      </c>
      <c r="G23" s="2415"/>
      <c r="H23" s="2399"/>
      <c r="I23" s="2400"/>
      <c r="J23" s="2399"/>
      <c r="K23" s="2399"/>
      <c r="L23" s="2400"/>
      <c r="M23" s="2399"/>
      <c r="N23" s="2399"/>
      <c r="O23" s="2400"/>
      <c r="P23" s="2399"/>
      <c r="Q23" s="2399"/>
      <c r="R23" s="2401"/>
    </row>
    <row r="24" spans="1:18" s="2371"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0</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43465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t="e">
        <f ca="1">SUM(D14:D23)</f>
        <v>#REF!</v>
      </c>
      <c r="C5" s="1746" t="e">
        <f ca="1">ROUND(B5*10000/$B$1,0)</f>
        <v>#REF!</v>
      </c>
      <c r="D5" s="1746" t="e">
        <f ca="1">ROUND(B5*10000/$B$2,0)</f>
        <v>#REF!</v>
      </c>
      <c r="E5" s="1745"/>
      <c r="F5" s="1743"/>
      <c r="G5" s="1743"/>
    </row>
    <row r="6" spans="1:10" ht="16.5">
      <c r="A6" s="1746" t="s">
        <v>1352</v>
      </c>
      <c r="B6" s="1746">
        <f>SUM(G14:G23)</f>
        <v>0</v>
      </c>
      <c r="C6" s="1746" t="e">
        <f>ROUND(B6*10000/$B$1,0)</f>
        <v>#DIV/0!</v>
      </c>
      <c r="D6" s="1746" t="e">
        <f>ROUND(B6*10000/$B$2,0)</f>
        <v>#DIV/0!</v>
      </c>
      <c r="E6" s="1745"/>
      <c r="F6" s="1743"/>
      <c r="G6" s="1743"/>
    </row>
    <row r="7" spans="1:10" ht="16.5">
      <c r="A7" s="1746" t="s">
        <v>1360</v>
      </c>
      <c r="B7" s="1746" t="e">
        <f ca="1">SUM(H14:H23)</f>
        <v>#REF!</v>
      </c>
      <c r="C7" s="1746" t="e">
        <f ca="1">ROUND(B7*10000/$B$1,0)</f>
        <v>#REF!</v>
      </c>
      <c r="D7" s="1746" t="e">
        <f ca="1">ROUND(B7*10000/$B$2,0)</f>
        <v>#REF!</v>
      </c>
      <c r="E7" s="1745"/>
      <c r="F7" s="1743"/>
      <c r="G7" s="1743"/>
    </row>
    <row r="8" spans="1:10" ht="16.5">
      <c r="A8" s="1746" t="s">
        <v>1281</v>
      </c>
      <c r="B8" s="1746">
        <f>SUM(I14:I23)</f>
        <v>0</v>
      </c>
      <c r="C8" s="1746" t="e">
        <f>ROUND(B8*10000/$B$1,0)</f>
        <v>#DIV/0!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0</v>
      </c>
      <c r="C14" s="1744">
        <f>结果表!C118</f>
        <v>0</v>
      </c>
      <c r="D14" s="1744" t="e">
        <f ca="1">结果表!H118</f>
        <v>#REF!</v>
      </c>
      <c r="E14" s="1744" t="e">
        <f ca="1">ROUND(D14*10000/B14,0)</f>
        <v>#REF!</v>
      </c>
      <c r="F14" s="1744" t="e">
        <f ca="1">ROUND(D14*10000/C14,0)</f>
        <v>#REF!</v>
      </c>
      <c r="G14" s="1744" t="str">
        <f>结果表!D122</f>
        <v>——</v>
      </c>
      <c r="H14" s="1744" t="e">
        <f ca="1">结果表!D124</f>
        <v>#REF!</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A30" sqref="A30:D3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2119</v>
      </c>
      <c r="B1" s="2422"/>
      <c r="C1" s="2423"/>
      <c r="D1" s="2422"/>
      <c r="E1" s="2422"/>
      <c r="F1" s="2424" t="s">
        <v>2120</v>
      </c>
      <c r="G1" s="2073" t="s">
        <v>2121</v>
      </c>
      <c r="H1" s="2425" t="str">
        <f>IF(G1="现房","——","估价对象范围")</f>
        <v>估价对象范围</v>
      </c>
      <c r="I1" s="2426"/>
    </row>
    <row r="2" spans="1:12" ht="21.75" customHeight="1" thickBot="1">
      <c r="A2" s="3076" t="str">
        <f>项目基本情况!S2</f>
        <v>北京市红领巾公园南侧建设项目出让国有建设用地使用权及在建建筑物房地产</v>
      </c>
      <c r="B2" s="3077"/>
      <c r="C2" s="3077"/>
      <c r="D2" s="3077"/>
      <c r="E2" s="3077"/>
      <c r="F2" s="3077"/>
      <c r="G2" s="3077"/>
      <c r="H2" s="3077"/>
      <c r="I2" s="3078"/>
    </row>
    <row r="3" spans="1:12" ht="12.75">
      <c r="A3" s="3080" t="s">
        <v>2122</v>
      </c>
      <c r="B3" s="3081"/>
      <c r="C3" s="3081"/>
      <c r="D3" s="3081"/>
      <c r="E3" s="3081"/>
      <c r="F3" s="3081"/>
      <c r="G3" s="3081"/>
      <c r="H3" s="3081"/>
      <c r="I3" s="3081"/>
    </row>
    <row r="4" spans="1:12" ht="14.25">
      <c r="A4" s="2429" t="s">
        <v>2123</v>
      </c>
      <c r="B4" s="2430" t="s">
        <v>2124</v>
      </c>
      <c r="C4" s="2431"/>
      <c r="D4" s="2431"/>
      <c r="E4" s="3073" t="s">
        <v>2125</v>
      </c>
      <c r="F4" s="3074"/>
      <c r="G4" s="3074"/>
      <c r="H4" s="3074"/>
      <c r="I4" s="3082"/>
      <c r="K4" s="2432" t="str">
        <f>IF(ISNUMBER(FIND("比较法",结果表!C4)),"比较法",IF(ISNUMBER(FIND("成本法",结果表!C4)),"成本法",IF(ISNUMBER(FIND("假设开发法",结果表!C4)),"假设开发法",IF(ISNUMBER(FIND("收益法",结果表!C4)),"收益法","基准地价系数修正法"))))</f>
        <v>基准地价系数修正法</v>
      </c>
      <c r="L4" s="243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56" t="s">
        <v>2126</v>
      </c>
      <c r="B5" s="2994">
        <v>25</v>
      </c>
      <c r="C5" s="3059"/>
      <c r="D5" s="3079"/>
      <c r="E5" s="140" t="s">
        <v>2127</v>
      </c>
      <c r="F5" s="2433"/>
      <c r="G5" s="2433"/>
      <c r="H5" s="2433"/>
      <c r="I5" s="1834"/>
    </row>
    <row r="6" spans="1:12" ht="12.75">
      <c r="A6" s="3056"/>
      <c r="B6" s="2994"/>
      <c r="C6" s="3060"/>
      <c r="D6" s="3079"/>
      <c r="E6" s="140" t="s">
        <v>2128</v>
      </c>
      <c r="F6" s="2433"/>
      <c r="G6" s="2433"/>
      <c r="H6" s="2433"/>
      <c r="I6" s="1834"/>
    </row>
    <row r="7" spans="1:12" ht="12.75">
      <c r="A7" s="3056"/>
      <c r="B7" s="2994"/>
      <c r="C7" s="3061"/>
      <c r="D7" s="3079"/>
      <c r="E7" s="140" t="s">
        <v>2129</v>
      </c>
      <c r="F7" s="2433"/>
      <c r="G7" s="2433"/>
      <c r="H7" s="2433"/>
      <c r="I7" s="1834"/>
    </row>
    <row r="8" spans="1:12" ht="12.75">
      <c r="A8" s="3056" t="s">
        <v>2130</v>
      </c>
      <c r="B8" s="2994">
        <v>15</v>
      </c>
      <c r="C8" s="3059"/>
      <c r="D8" s="3079"/>
      <c r="E8" s="140" t="s">
        <v>2131</v>
      </c>
      <c r="F8" s="2433"/>
      <c r="G8" s="2433"/>
      <c r="H8" s="2433"/>
      <c r="I8" s="1834"/>
    </row>
    <row r="9" spans="1:12" ht="12.75">
      <c r="A9" s="3056"/>
      <c r="B9" s="2994"/>
      <c r="C9" s="3061"/>
      <c r="D9" s="3079"/>
      <c r="E9" s="140" t="s">
        <v>2132</v>
      </c>
      <c r="F9" s="2433"/>
      <c r="G9" s="2433"/>
      <c r="H9" s="2433"/>
      <c r="I9" s="1834"/>
    </row>
    <row r="10" spans="1:12" ht="12.75">
      <c r="A10" s="3056" t="s">
        <v>2133</v>
      </c>
      <c r="B10" s="2994">
        <v>15</v>
      </c>
      <c r="C10" s="3059"/>
      <c r="D10" s="3079"/>
      <c r="E10" s="140" t="s">
        <v>2134</v>
      </c>
      <c r="F10" s="2433"/>
      <c r="G10" s="2433"/>
      <c r="H10" s="2433"/>
      <c r="I10" s="1834"/>
    </row>
    <row r="11" spans="1:12" ht="12.75">
      <c r="A11" s="3056"/>
      <c r="B11" s="2994"/>
      <c r="C11" s="3061"/>
      <c r="D11" s="3079"/>
      <c r="E11" s="140" t="s">
        <v>2135</v>
      </c>
      <c r="F11" s="2433"/>
      <c r="G11" s="2433"/>
      <c r="H11" s="2433"/>
      <c r="I11" s="1834"/>
    </row>
    <row r="12" spans="1:12" ht="12.75">
      <c r="A12" s="3056" t="s">
        <v>2136</v>
      </c>
      <c r="B12" s="2994">
        <v>15</v>
      </c>
      <c r="C12" s="3059"/>
      <c r="D12" s="3079"/>
      <c r="E12" s="140" t="s">
        <v>2137</v>
      </c>
      <c r="F12" s="2433"/>
      <c r="G12" s="2433"/>
      <c r="H12" s="2433"/>
      <c r="I12" s="1834"/>
    </row>
    <row r="13" spans="1:12" ht="12.75">
      <c r="A13" s="3056"/>
      <c r="B13" s="2994"/>
      <c r="C13" s="3061"/>
      <c r="D13" s="3079"/>
      <c r="E13" s="140" t="s">
        <v>2138</v>
      </c>
      <c r="F13" s="2433"/>
      <c r="G13" s="2433"/>
      <c r="H13" s="2433"/>
      <c r="I13" s="1834"/>
    </row>
    <row r="14" spans="1:12" ht="12.75">
      <c r="A14" s="3056" t="s">
        <v>2139</v>
      </c>
      <c r="B14" s="2994">
        <v>30</v>
      </c>
      <c r="C14" s="3059"/>
      <c r="D14" s="3079"/>
      <c r="E14" s="140" t="s">
        <v>2140</v>
      </c>
      <c r="F14" s="2433"/>
      <c r="G14" s="2433"/>
      <c r="H14" s="2433"/>
      <c r="I14" s="1834"/>
    </row>
    <row r="15" spans="1:12" ht="12.75">
      <c r="A15" s="3056"/>
      <c r="B15" s="2994"/>
      <c r="C15" s="3060"/>
      <c r="D15" s="3079"/>
      <c r="E15" s="140" t="s">
        <v>2141</v>
      </c>
      <c r="F15" s="2433"/>
      <c r="G15" s="2433"/>
      <c r="H15" s="2433"/>
      <c r="I15" s="1834"/>
    </row>
    <row r="16" spans="1:12" ht="12.75">
      <c r="A16" s="3056"/>
      <c r="B16" s="2994"/>
      <c r="C16" s="3061"/>
      <c r="D16" s="3079"/>
      <c r="E16" s="140" t="s">
        <v>2142</v>
      </c>
      <c r="F16" s="2433"/>
      <c r="G16" s="2433"/>
      <c r="H16" s="2433"/>
      <c r="I16" s="1834"/>
    </row>
    <row r="17" spans="1:35" ht="15">
      <c r="A17" s="2434" t="s">
        <v>2143</v>
      </c>
      <c r="B17" s="64"/>
      <c r="C17" s="141">
        <f>SUM(C5:C16)</f>
        <v>0</v>
      </c>
      <c r="D17" s="141">
        <f>SUM(D5:D16)</f>
        <v>0</v>
      </c>
      <c r="E17" s="138"/>
      <c r="F17" s="138"/>
      <c r="G17" s="138"/>
      <c r="H17" s="138"/>
      <c r="I17" s="138"/>
      <c r="K17" s="2432"/>
      <c r="L17" s="2435" t="s">
        <v>2144</v>
      </c>
      <c r="M17" s="2435" t="s">
        <v>2145</v>
      </c>
    </row>
    <row r="18" spans="1:35" ht="15.75" thickBot="1">
      <c r="A18" s="2436" t="s">
        <v>2146</v>
      </c>
      <c r="B18" s="2437"/>
      <c r="C18" s="142" t="e">
        <f>ROUND(C17/SUM(C17:D17),2)</f>
        <v>#DIV/0!</v>
      </c>
      <c r="D18" s="142" t="e">
        <f>1-C18</f>
        <v>#DIV/0!</v>
      </c>
      <c r="E18" s="138"/>
      <c r="F18" s="138"/>
      <c r="G18" s="138"/>
      <c r="H18" s="138"/>
      <c r="I18" s="138"/>
      <c r="K18" s="2432" t="s">
        <v>2147</v>
      </c>
      <c r="L18" s="2432">
        <f>IF(C1="",'数据-汇总表'!E3,SUMIF(项目类型,C1,'数据-汇总表'!E17:E26)+SUMIF(项目类型,C1,'数据-汇总表'!I17:I26))</f>
        <v>0</v>
      </c>
      <c r="M18" s="2432">
        <f>IF(C1="",'数据-汇总表'!E3,SUMIF(项目类型,C1,'数据-汇总表'!E17:E26))</f>
        <v>0</v>
      </c>
    </row>
    <row r="19" spans="1:35" ht="15">
      <c r="A19" s="2438" t="s">
        <v>2148</v>
      </c>
      <c r="B19" s="2439" t="s">
        <v>2149</v>
      </c>
      <c r="C19" s="143" t="e">
        <f ca="1">SUMIF(INDIRECT("'"&amp;C4&amp;"'"&amp;"!A:A"),结果表!B19,INDIRECT("'"&amp;C4&amp;"'"&amp;"!B:B"))</f>
        <v>#REF!</v>
      </c>
      <c r="D19" s="144" t="e">
        <f ca="1">SUMIF(INDIRECT("'"&amp;D4&amp;"'"&amp;"!A:A"),结果表!B19,INDIRECT("'"&amp;D4&amp;"'"&amp;"!B:B"))</f>
        <v>#REF!</v>
      </c>
      <c r="E19" s="2438" t="s">
        <v>2150</v>
      </c>
      <c r="F19" s="2439" t="s">
        <v>2149</v>
      </c>
      <c r="G19" s="145" t="e">
        <f ca="1">ROUND(C19*$C$18+D19*$D$18,0)</f>
        <v>#REF!</v>
      </c>
      <c r="H19" s="2440" t="s">
        <v>2151</v>
      </c>
      <c r="I19" s="138"/>
      <c r="K19" s="2432" t="s">
        <v>2152</v>
      </c>
      <c r="L19" s="2432">
        <f>IF(C1="",'数据-汇总表'!D3,SUMIF(项目类型,C1,'数据-汇总表'!D17:D26)+SUMIF(项目类型,C1,'数据-汇总表'!H17:H27))</f>
        <v>0</v>
      </c>
      <c r="M19" s="2432">
        <f>IF(C1="",'数据-汇总表'!D3,SUMIF(项目类型,C1,'数据-汇总表'!D17:D26))</f>
        <v>0</v>
      </c>
    </row>
    <row r="20" spans="1:35" ht="15">
      <c r="A20" s="2441"/>
      <c r="B20" s="1250" t="s">
        <v>2153</v>
      </c>
      <c r="C20" s="146" t="e">
        <f ca="1">SUMIF(INDIRECT("'"&amp;C4&amp;"'"&amp;"!A:A"),结果表!B20,INDIRECT("'"&amp;C4&amp;"'"&amp;"!B:B"))</f>
        <v>#REF!</v>
      </c>
      <c r="D20" s="147" t="e">
        <f ca="1">SUMIF(INDIRECT("'"&amp;D4&amp;"'"&amp;"!A:A"),结果表!B20,INDIRECT("'"&amp;D4&amp;"'"&amp;"!B:B"))</f>
        <v>#REF!</v>
      </c>
      <c r="E20" s="2441"/>
      <c r="F20" s="1250" t="s">
        <v>2153</v>
      </c>
      <c r="G20" s="148" t="e">
        <f ca="1">ROUND(C20*$C$18+D20*$D$18,0)</f>
        <v>#REF!</v>
      </c>
      <c r="H20" s="983" t="s">
        <v>2154</v>
      </c>
      <c r="I20" s="138"/>
    </row>
    <row r="21" spans="1:35" ht="15" customHeight="1" thickBot="1">
      <c r="A21" s="1003"/>
      <c r="B21" s="2442" t="s">
        <v>2155</v>
      </c>
      <c r="C21" s="789" t="e">
        <f ca="1">ROUND(C19*10000/L19,0)</f>
        <v>#REF!</v>
      </c>
      <c r="D21" s="790" t="e">
        <f ca="1">ROUND(D19*10000/L19,0)</f>
        <v>#REF!</v>
      </c>
      <c r="E21" s="1003"/>
      <c r="F21" s="2442" t="s">
        <v>2155</v>
      </c>
      <c r="G21" s="149" t="e">
        <f ca="1">ROUND(G19*10000/L19,0)</f>
        <v>#REF!</v>
      </c>
      <c r="H21" s="2443" t="s">
        <v>2154</v>
      </c>
      <c r="I21" s="138"/>
    </row>
    <row r="22" spans="1:35" ht="15" thickBot="1">
      <c r="A22" s="2284" t="s">
        <v>2156</v>
      </c>
      <c r="B22" s="2444"/>
      <c r="C22" s="2445"/>
      <c r="D22" s="791" t="e">
        <f ca="1">IF(C19&lt;D19,D19/C19-1,C19/D19-1)</f>
        <v>#REF!</v>
      </c>
      <c r="E22" s="138"/>
      <c r="F22" s="138"/>
      <c r="G22" s="138"/>
      <c r="H22" s="138"/>
      <c r="I22" s="138"/>
    </row>
    <row r="23" spans="1:35" ht="13.5" thickBot="1">
      <c r="A23" s="2422"/>
      <c r="B23" s="2422"/>
      <c r="C23" s="2422"/>
      <c r="D23" s="2422"/>
      <c r="E23" s="138"/>
      <c r="F23" s="138"/>
      <c r="G23" s="138"/>
      <c r="H23" s="138"/>
      <c r="I23" s="138"/>
    </row>
    <row r="24" spans="1:35" ht="14.25">
      <c r="A24" s="3050" t="s">
        <v>2157</v>
      </c>
      <c r="B24" s="2439" t="s">
        <v>2149</v>
      </c>
      <c r="C24" s="145">
        <f>IF(B30=0,0,D30)</f>
        <v>0</v>
      </c>
      <c r="D24" s="2446"/>
      <c r="E24" s="138"/>
      <c r="F24" s="138"/>
      <c r="G24" s="138"/>
      <c r="H24" s="138"/>
      <c r="I24" s="138"/>
    </row>
    <row r="25" spans="1:35" ht="14.25">
      <c r="A25" s="3051"/>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31" t="s">
        <v>3039</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t="e">
        <f ca="1">IF(D32="总价",G19-C24,G20-C25)</f>
        <v>#REF!</v>
      </c>
      <c r="D32" s="2453" t="s">
        <v>2164</v>
      </c>
      <c r="E32" s="138"/>
      <c r="F32" s="138"/>
      <c r="G32" s="138"/>
      <c r="H32" s="138"/>
      <c r="I32" s="138"/>
    </row>
    <row r="33" spans="1:15" ht="15">
      <c r="A33" s="960" t="s">
        <v>2165</v>
      </c>
      <c r="B33" s="2454"/>
      <c r="C33" s="2455"/>
      <c r="D33" s="2456"/>
      <c r="E33" s="2457" t="s">
        <v>2166</v>
      </c>
      <c r="F33" s="2458" t="str">
        <f>IF(D32="楼面单价","取值（单价）","取值（总价）")</f>
        <v>取值（总价）</v>
      </c>
      <c r="G33" s="138"/>
      <c r="H33" s="138"/>
      <c r="I33" s="138"/>
    </row>
    <row r="34" spans="1:15" ht="15">
      <c r="A34" s="2459"/>
      <c r="B34" s="2460" t="s">
        <v>2167</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2168</v>
      </c>
      <c r="F34" s="1739"/>
      <c r="G34" s="138"/>
      <c r="H34" s="138"/>
      <c r="I34" s="138"/>
    </row>
    <row r="35" spans="1:15" ht="15.75" thickBot="1">
      <c r="A35" s="2462"/>
      <c r="B35" s="2463"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2170</v>
      </c>
      <c r="F35" s="163"/>
      <c r="G35" s="138"/>
      <c r="H35" s="138"/>
      <c r="I35" s="138"/>
    </row>
    <row r="36" spans="1:15" ht="15.75" thickBot="1">
      <c r="A36" s="3068" t="s">
        <v>2171</v>
      </c>
      <c r="B36" s="2465" t="s">
        <v>2172</v>
      </c>
      <c r="C36" s="154"/>
      <c r="D36" s="2466"/>
      <c r="E36" s="2467"/>
      <c r="F36" s="2468"/>
      <c r="G36" s="138"/>
      <c r="H36" s="138"/>
      <c r="I36" s="138"/>
    </row>
    <row r="37" spans="1:15" ht="15.75" thickBot="1">
      <c r="A37" s="3069"/>
      <c r="B37" s="2270" t="s">
        <v>2173</v>
      </c>
      <c r="C37" s="156"/>
      <c r="D37" s="1395"/>
      <c r="E37" s="1395"/>
      <c r="F37" s="2468"/>
      <c r="G37" s="138"/>
      <c r="H37" s="138"/>
      <c r="I37" s="138"/>
    </row>
    <row r="38" spans="1:15" ht="15.75" thickBot="1">
      <c r="A38" s="3070"/>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047" t="s">
        <v>2185</v>
      </c>
      <c r="B45" s="3048"/>
      <c r="C45" s="3049"/>
      <c r="D45" s="164" t="e">
        <f ca="1">ROUND(H101*F45,0)</f>
        <v>#REF!</v>
      </c>
      <c r="E45" s="165" t="s">
        <v>2186</v>
      </c>
      <c r="F45" s="166">
        <v>1</v>
      </c>
      <c r="G45" s="167" t="s">
        <v>2187</v>
      </c>
      <c r="H45" s="138"/>
      <c r="I45" s="138"/>
      <c r="J45" s="3107" t="s">
        <v>2188</v>
      </c>
      <c r="K45" s="3107"/>
      <c r="L45" s="3107"/>
      <c r="M45" s="3107"/>
      <c r="N45" s="3107"/>
      <c r="O45" s="3107"/>
    </row>
    <row r="46" spans="1:15" ht="14.25" customHeight="1">
      <c r="A46" s="3044" t="s">
        <v>2189</v>
      </c>
      <c r="B46" s="3045"/>
      <c r="C46" s="3045"/>
      <c r="D46" s="3045"/>
      <c r="E46" s="3045"/>
      <c r="F46" s="3045"/>
      <c r="G46" s="3046"/>
      <c r="H46" s="2484"/>
      <c r="I46" s="168"/>
      <c r="J46" s="1812">
        <v>1</v>
      </c>
      <c r="K46" s="3107" t="s">
        <v>2190</v>
      </c>
      <c r="L46" s="3107"/>
      <c r="M46" s="3127"/>
      <c r="N46" s="3127"/>
      <c r="O46" s="3127"/>
    </row>
    <row r="47" spans="1:15" ht="12" customHeight="1">
      <c r="A47" s="169" t="s">
        <v>2191</v>
      </c>
      <c r="B47" s="170"/>
      <c r="C47" s="171"/>
      <c r="D47" s="172" t="s">
        <v>2192</v>
      </c>
      <c r="E47" s="24" t="s">
        <v>2193</v>
      </c>
      <c r="F47" s="173" t="s">
        <v>2194</v>
      </c>
      <c r="G47" s="174" t="s">
        <v>2195</v>
      </c>
      <c r="H47" s="2484"/>
      <c r="I47" s="168"/>
      <c r="J47" s="1812">
        <v>2</v>
      </c>
      <c r="K47" s="3107" t="s">
        <v>2196</v>
      </c>
      <c r="L47" s="3107"/>
      <c r="M47" s="3128">
        <f>'数据-取费表'!B2</f>
        <v>43465</v>
      </c>
      <c r="N47" s="3128"/>
      <c r="O47" s="3128"/>
    </row>
    <row r="48" spans="1:15" ht="25.5">
      <c r="A48" s="3075" t="s">
        <v>2197</v>
      </c>
      <c r="B48" s="3058"/>
      <c r="C48" s="3058"/>
      <c r="D48" s="140">
        <f>IF(H48="情况1",0,IF(H48="情况2",D52,IF(H48="情况3",D53,IF(H48="情况4",D54))))</f>
        <v>0</v>
      </c>
      <c r="E48" s="1801" t="str">
        <f>IF(H48="情况4","(销售额-原购置价)×税（费）率","销售额×税（费）率")</f>
        <v>销售额×税（费）率</v>
      </c>
      <c r="F48" s="175" t="str">
        <f>IF(H48="情况1","免征",'数据-取费表'!B41)</f>
        <v>免征</v>
      </c>
      <c r="G48" s="2485" t="s">
        <v>2198</v>
      </c>
      <c r="H48" s="2486" t="s">
        <v>2199</v>
      </c>
      <c r="I48" s="2484"/>
      <c r="J48" s="1812">
        <v>3</v>
      </c>
      <c r="K48" s="3107" t="s">
        <v>2200</v>
      </c>
      <c r="L48" s="3107"/>
      <c r="M48" s="3129" t="e">
        <f ca="1">H101</f>
        <v>#REF!</v>
      </c>
      <c r="N48" s="3129"/>
      <c r="O48" s="3129"/>
    </row>
    <row r="49" spans="1:35" ht="25.5" customHeight="1">
      <c r="A49" s="176" t="s">
        <v>2201</v>
      </c>
      <c r="B49" s="3043" t="s">
        <v>2202</v>
      </c>
      <c r="C49" s="3043"/>
      <c r="D49" s="177">
        <v>0</v>
      </c>
      <c r="E49" s="23" t="s">
        <v>2203</v>
      </c>
      <c r="F49" s="28" t="s">
        <v>34</v>
      </c>
      <c r="G49" s="3113"/>
      <c r="H49" s="138"/>
      <c r="I49" s="2487"/>
      <c r="J49" s="1812">
        <v>4</v>
      </c>
      <c r="K49" s="3107" t="str">
        <f>IF(项目基本情况!E8="房地产抵押价值","房地产抵押价值","抵押担保权已注销时的房地产抵押价值")</f>
        <v>抵押担保权已注销时的房地产抵押价值</v>
      </c>
      <c r="L49" s="3107"/>
      <c r="M49" s="3129" t="e">
        <f ca="1">IF(项目基本情况!E8="房地产抵押价值",H107,H109)</f>
        <v>#REF!</v>
      </c>
      <c r="N49" s="3129"/>
      <c r="O49" s="3129"/>
    </row>
    <row r="50" spans="1:35" ht="25.5" customHeight="1">
      <c r="A50" s="178"/>
      <c r="B50" s="3043" t="s">
        <v>2204</v>
      </c>
      <c r="C50" s="3043"/>
      <c r="D50" s="179"/>
      <c r="E50" s="31"/>
      <c r="F50" s="180"/>
      <c r="G50" s="3114"/>
      <c r="H50" s="138"/>
      <c r="I50" s="2487"/>
      <c r="J50" s="3107" t="s">
        <v>2205</v>
      </c>
      <c r="K50" s="3107"/>
      <c r="L50" s="3107"/>
      <c r="M50" s="3107"/>
      <c r="N50" s="3107"/>
      <c r="O50" s="3107"/>
    </row>
    <row r="51" spans="1:35" ht="12" customHeight="1">
      <c r="A51" s="181"/>
      <c r="B51" s="3043" t="s">
        <v>2206</v>
      </c>
      <c r="C51" s="3043"/>
      <c r="D51" s="182"/>
      <c r="E51" s="30"/>
      <c r="F51" s="180"/>
      <c r="G51" s="3115"/>
      <c r="H51" s="138"/>
      <c r="I51" s="2487"/>
      <c r="J51" s="2488" t="s">
        <v>2207</v>
      </c>
      <c r="K51" s="3107" t="s">
        <v>2208</v>
      </c>
      <c r="L51" s="3107"/>
      <c r="M51" s="2488" t="s">
        <v>2209</v>
      </c>
      <c r="N51" s="2488" t="s">
        <v>2210</v>
      </c>
      <c r="O51" s="2488" t="s">
        <v>2211</v>
      </c>
    </row>
    <row r="52" spans="1:35" ht="24" customHeight="1">
      <c r="A52" s="183" t="s">
        <v>2212</v>
      </c>
      <c r="B52" s="3043" t="s">
        <v>2213</v>
      </c>
      <c r="C52" s="3043"/>
      <c r="D52" s="182" t="e">
        <f ca="1">ROUND(D45*'数据-取费表'!B41/(1+'数据-取费表'!C42),0)</f>
        <v>#REF!</v>
      </c>
      <c r="E52" s="11" t="s">
        <v>2214</v>
      </c>
      <c r="F52" s="184">
        <f>'数据-取费表'!B41</f>
        <v>0</v>
      </c>
      <c r="G52" s="2489"/>
      <c r="H52" s="138"/>
      <c r="I52" s="2487"/>
      <c r="J52" s="1812">
        <v>1</v>
      </c>
      <c r="K52" s="3108" t="s">
        <v>2215</v>
      </c>
      <c r="L52" s="3108"/>
      <c r="M52" s="1754">
        <f>D48</f>
        <v>0</v>
      </c>
      <c r="N52" s="1812" t="str">
        <f>E48</f>
        <v>销售额×税（费）率</v>
      </c>
      <c r="O52" s="1755" t="str">
        <f>F48</f>
        <v>免征</v>
      </c>
    </row>
    <row r="53" spans="1:35" ht="12" customHeight="1">
      <c r="A53" s="183" t="s">
        <v>2216</v>
      </c>
      <c r="B53" s="3066" t="s">
        <v>2217</v>
      </c>
      <c r="C53" s="3067"/>
      <c r="D53" s="182" t="e">
        <f ca="1">ROUND(D45*'数据-取费表'!B41/(1+'数据-取费表'!C42),0)</f>
        <v>#REF!</v>
      </c>
      <c r="E53" s="11" t="s">
        <v>2214</v>
      </c>
      <c r="F53" s="184">
        <f>'数据-取费表'!B41</f>
        <v>0</v>
      </c>
      <c r="G53" s="2489"/>
      <c r="H53" s="138"/>
      <c r="I53" s="2487"/>
      <c r="J53" s="1812">
        <v>2</v>
      </c>
      <c r="K53" s="3108" t="s">
        <v>2218</v>
      </c>
      <c r="L53" s="3108"/>
      <c r="M53" s="1754" t="e">
        <f t="shared" ref="M53:O54" ca="1" si="0">D55</f>
        <v>#REF!</v>
      </c>
      <c r="N53" s="1812" t="str">
        <f t="shared" si="0"/>
        <v>销售额×税（费）率</v>
      </c>
      <c r="O53" s="1755">
        <f t="shared" si="0"/>
        <v>0</v>
      </c>
    </row>
    <row r="54" spans="1:35" ht="12" customHeight="1">
      <c r="A54" s="183" t="s">
        <v>2219</v>
      </c>
      <c r="B54" s="3066" t="s">
        <v>2220</v>
      </c>
      <c r="C54" s="3067"/>
      <c r="D54" s="182" t="e">
        <f ca="1">C68</f>
        <v>#REF!</v>
      </c>
      <c r="E54" s="30" t="s">
        <v>2221</v>
      </c>
      <c r="F54" s="184">
        <f>'数据-取费表'!B41</f>
        <v>0</v>
      </c>
      <c r="G54" s="2489"/>
      <c r="H54" s="2490"/>
      <c r="I54" s="2487"/>
      <c r="J54" s="1812">
        <v>3</v>
      </c>
      <c r="K54" s="3108" t="s">
        <v>2222</v>
      </c>
      <c r="L54" s="3108"/>
      <c r="M54" s="1754" t="e">
        <f t="shared" ca="1" si="0"/>
        <v>#REF!</v>
      </c>
      <c r="N54" s="1812" t="str">
        <f t="shared" si="0"/>
        <v>增值额×税（费）率</v>
      </c>
      <c r="O54" s="1756" t="str">
        <f t="shared" si="0"/>
        <v>——</v>
      </c>
    </row>
    <row r="55" spans="1:35" ht="24" customHeight="1">
      <c r="A55" s="3057" t="s">
        <v>2223</v>
      </c>
      <c r="B55" s="3058"/>
      <c r="C55" s="3058"/>
      <c r="D55" s="185" t="e">
        <f ca="1">IF(H55="个人住宅",0,ROUND(D45*I55,0))</f>
        <v>#REF!</v>
      </c>
      <c r="E55" s="11" t="s">
        <v>2224</v>
      </c>
      <c r="F55" s="184">
        <f>IF(H55="正常",I55,"免征")</f>
        <v>0</v>
      </c>
      <c r="G55" s="2489"/>
      <c r="H55" s="2486" t="s">
        <v>2225</v>
      </c>
      <c r="I55" s="186">
        <f>'数据-取费表'!B49</f>
        <v>0</v>
      </c>
      <c r="J55" s="1812" t="str">
        <f>IF(H59="非个人房产","",4)</f>
        <v/>
      </c>
      <c r="K55" s="3108" t="str">
        <f>IF(H59="非个人房产","——","个人所得税")</f>
        <v>——</v>
      </c>
      <c r="L55" s="3108"/>
      <c r="M55" s="1757" t="str">
        <f>D59</f>
        <v>——</v>
      </c>
      <c r="N55" s="1810" t="str">
        <f>E59</f>
        <v>——</v>
      </c>
      <c r="O55" s="1758" t="str">
        <f>F59</f>
        <v>——</v>
      </c>
    </row>
    <row r="56" spans="1:35" ht="24.75">
      <c r="A56" s="3057" t="s">
        <v>2226</v>
      </c>
      <c r="B56" s="3058"/>
      <c r="C56" s="3058"/>
      <c r="D56" s="185" t="e">
        <f ca="1">IF(H56="个人住宅",D57,D58)</f>
        <v>#REF!</v>
      </c>
      <c r="E56" s="11" t="s">
        <v>2227</v>
      </c>
      <c r="F56" s="184" t="str">
        <f>IF(H56="正常",F58,"免征")</f>
        <v>——</v>
      </c>
      <c r="G56" s="2491" t="s">
        <v>2228</v>
      </c>
      <c r="H56" s="2492" t="s">
        <v>2225</v>
      </c>
      <c r="I56" s="2493"/>
      <c r="J56" s="1812" t="str">
        <f>IF(项目基本情况!K6="上海银行",IF(J55="",4,J55+1),"")</f>
        <v/>
      </c>
      <c r="K56" s="3131" t="str">
        <f>IF(项目基本情况!K6="上海银行","其他处置费用","")</f>
        <v/>
      </c>
      <c r="L56" s="3132"/>
      <c r="M56" s="1754" t="str">
        <f>IF(项目基本情况!K6="上海银行",M69,"")</f>
        <v/>
      </c>
      <c r="N56" s="3134" t="str">
        <f>IF(项目基本情况!K6="上海银行","包含处置中涉及的律师、诉讼、拍卖、评估等费用","")</f>
        <v/>
      </c>
      <c r="O56" s="3135"/>
    </row>
    <row r="57" spans="1:35" ht="12.75">
      <c r="A57" s="183" t="s">
        <v>2201</v>
      </c>
      <c r="B57" s="3073" t="s">
        <v>2229</v>
      </c>
      <c r="C57" s="3082"/>
      <c r="D57" s="187">
        <v>0</v>
      </c>
      <c r="E57" s="23" t="s">
        <v>2203</v>
      </c>
      <c r="F57" s="155"/>
      <c r="G57" s="2489"/>
      <c r="H57" s="2493"/>
      <c r="I57" s="2493"/>
      <c r="J57" s="3108">
        <f>IF(AND(J55="",J56=""),4,IF(项目基本情况!K6="上海银行",结果表!J56+1,结果表!J55+1))</f>
        <v>4</v>
      </c>
      <c r="K57" s="3108" t="s">
        <v>2230</v>
      </c>
      <c r="L57" s="2494" t="s">
        <v>2231</v>
      </c>
      <c r="M57" s="1759"/>
      <c r="N57" s="1760">
        <f ca="1">SUMIF(M52:M56,"&lt;9e307")</f>
        <v>0</v>
      </c>
      <c r="O57" s="2495"/>
      <c r="P57" s="1753" t="e">
        <f ca="1">N57/M49</f>
        <v>#REF!</v>
      </c>
    </row>
    <row r="58" spans="1:35" ht="24.75">
      <c r="A58" s="183" t="s">
        <v>2212</v>
      </c>
      <c r="B58" s="3073" t="s">
        <v>2232</v>
      </c>
      <c r="C58" s="3074"/>
      <c r="D58" s="185" t="e">
        <f ca="1">IF(H58="转让取得",C81,C97)</f>
        <v>#REF!</v>
      </c>
      <c r="E58" s="11" t="s">
        <v>2227</v>
      </c>
      <c r="F58" s="24" t="s">
        <v>34</v>
      </c>
      <c r="G58" s="2489"/>
      <c r="H58" s="2492" t="s">
        <v>2233</v>
      </c>
      <c r="I58" s="2493"/>
      <c r="J58" s="3108"/>
      <c r="K58" s="3108"/>
      <c r="L58" s="2494" t="s">
        <v>2234</v>
      </c>
      <c r="M58" s="1761"/>
      <c r="N58" s="2496" t="str">
        <f ca="1">NUMBERSTRING(INT(N57*10000),2)&amp;"元整"</f>
        <v>零元整</v>
      </c>
      <c r="O58" s="2497"/>
    </row>
    <row r="59" spans="1:35" ht="24.75" thickBot="1">
      <c r="A59" s="3111" t="s">
        <v>2235</v>
      </c>
      <c r="B59" s="3112"/>
      <c r="C59" s="3112"/>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109">
        <f>J57+1</f>
        <v>5</v>
      </c>
      <c r="K59" s="3108" t="s">
        <v>2237</v>
      </c>
      <c r="L59" s="1812" t="s">
        <v>2231</v>
      </c>
      <c r="M59" s="1762"/>
      <c r="N59" s="1763" t="e">
        <f ca="1">M49-N57</f>
        <v>#REF!</v>
      </c>
      <c r="O59" s="2499"/>
    </row>
    <row r="60" spans="1:35" ht="12" customHeight="1">
      <c r="A60" s="2500"/>
      <c r="B60" s="2422"/>
      <c r="C60" s="2422"/>
      <c r="D60" s="2422"/>
      <c r="E60" s="2169"/>
      <c r="F60" s="2493"/>
      <c r="G60" s="2493"/>
      <c r="H60" s="2501"/>
      <c r="I60" s="138"/>
      <c r="J60" s="3110"/>
      <c r="K60" s="3108"/>
      <c r="L60" s="2494" t="s">
        <v>2234</v>
      </c>
      <c r="M60" s="1761"/>
      <c r="N60" s="2496" t="e">
        <f ca="1">NUMBERSTRING(INT(N59*10000),2)&amp;"元整"</f>
        <v>#REF!</v>
      </c>
      <c r="O60" s="2497"/>
    </row>
    <row r="61" spans="1:35" ht="13.5" thickBot="1">
      <c r="A61" s="3055" t="s">
        <v>2238</v>
      </c>
      <c r="B61" s="3055"/>
      <c r="C61" s="3055"/>
      <c r="D61" s="3055"/>
      <c r="E61" s="3055"/>
      <c r="F61" s="2493"/>
      <c r="G61" s="2493"/>
      <c r="H61" s="2501"/>
      <c r="I61" s="138"/>
      <c r="J61" s="1812">
        <f>J59+1</f>
        <v>6</v>
      </c>
      <c r="K61" s="3108" t="s">
        <v>2239</v>
      </c>
      <c r="L61" s="3108"/>
      <c r="M61" s="1764"/>
      <c r="N61" s="1765" t="e">
        <f ca="1">ROUND(N59*10000/'数据-汇总表'!E3,0)</f>
        <v>#REF!</v>
      </c>
      <c r="O61" s="2502"/>
    </row>
    <row r="62" spans="1:35" ht="12.75">
      <c r="A62" s="3071" t="s">
        <v>2240</v>
      </c>
      <c r="B62" s="3072"/>
      <c r="C62" s="1804"/>
      <c r="D62" s="1804" t="s">
        <v>2241</v>
      </c>
      <c r="E62" s="192" t="s">
        <v>2242</v>
      </c>
      <c r="F62" s="2493"/>
      <c r="G62" s="2493"/>
      <c r="H62" s="2501"/>
      <c r="I62" s="138"/>
    </row>
    <row r="63" spans="1:35" ht="12.75">
      <c r="A63" s="203" t="s">
        <v>775</v>
      </c>
      <c r="B63" s="193" t="s">
        <v>2243</v>
      </c>
      <c r="C63" s="194" t="e">
        <f ca="1">ROUND((C64+C65)/(1+'数据-取费表'!C42),0)</f>
        <v>#REF!</v>
      </c>
      <c r="D63" s="195"/>
      <c r="E63" s="196"/>
      <c r="F63" s="2493"/>
      <c r="G63" s="2493"/>
      <c r="H63" s="2501"/>
      <c r="I63" s="138"/>
      <c r="J63" s="3133" t="s">
        <v>2244</v>
      </c>
      <c r="K63" s="2503" t="s">
        <v>2245</v>
      </c>
      <c r="L63" s="1752" t="e">
        <f ca="1">IF(M49&gt;10000,M49*0.5%,IF(AND(M49&gt;1000,M49&lt;=10000),M49*1%,IF(AND(M49&gt;100,M49&lt;=1000),M49*3%,IF(AND(M49&gt;10,M49&lt;=100),M49*5%,M49*8%))))</f>
        <v>#REF!</v>
      </c>
      <c r="M63" s="24" t="e">
        <f ca="1">ROUND(L63,1)</f>
        <v>#REF!</v>
      </c>
      <c r="Z63" s="2427"/>
      <c r="AI63" s="2428"/>
    </row>
    <row r="64" spans="1:35" ht="14.25" customHeight="1">
      <c r="A64" s="197" t="s">
        <v>770</v>
      </c>
      <c r="B64" s="198" t="s">
        <v>2246</v>
      </c>
      <c r="C64" s="199" t="e">
        <f ca="1">D45</f>
        <v>#REF!</v>
      </c>
      <c r="D64" s="200" t="s">
        <v>32</v>
      </c>
      <c r="E64" s="201"/>
      <c r="F64" s="2493"/>
      <c r="G64" s="2493"/>
      <c r="H64" s="2501"/>
      <c r="I64" s="138"/>
      <c r="J64" s="3133"/>
      <c r="K64" s="2503" t="s">
        <v>2247</v>
      </c>
      <c r="L64" s="1752"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7"/>
      <c r="AI64" s="2428"/>
    </row>
    <row r="65" spans="1:35" ht="14.25" customHeight="1">
      <c r="A65" s="197" t="s">
        <v>771</v>
      </c>
      <c r="B65" s="198" t="s">
        <v>2249</v>
      </c>
      <c r="C65" s="202"/>
      <c r="D65" s="200"/>
      <c r="E65" s="201"/>
      <c r="F65" s="2493"/>
      <c r="G65" s="2493"/>
      <c r="H65" s="2501"/>
      <c r="I65" s="138"/>
      <c r="J65" s="3133"/>
      <c r="K65" s="2503" t="s">
        <v>2250</v>
      </c>
      <c r="L65" s="1752" t="e">
        <f ca="1">IF(M49&gt;1000,M49*0.1%,IF(AND(M49&gt;500,M49&lt;=1000),M49*0.5%,IF(AND(M49&gt;50,M49&lt;=500),M49*1%,IF(AND(M49&gt;1,M49&lt;=50),M49*1.5%))))</f>
        <v>#REF!</v>
      </c>
      <c r="M65" s="24" t="e">
        <f t="shared" ca="1" si="1"/>
        <v>#REF!</v>
      </c>
      <c r="N65" s="138" t="s">
        <v>2248</v>
      </c>
      <c r="Z65" s="2427"/>
      <c r="AI65" s="2428"/>
    </row>
    <row r="66" spans="1:35" ht="14.25" customHeight="1">
      <c r="A66" s="203" t="s">
        <v>772</v>
      </c>
      <c r="B66" s="204" t="s">
        <v>2251</v>
      </c>
      <c r="C66" s="205"/>
      <c r="D66" s="206" t="s">
        <v>32</v>
      </c>
      <c r="E66" s="1776" t="s">
        <v>1367</v>
      </c>
      <c r="F66" s="2493"/>
      <c r="G66" s="2493"/>
      <c r="H66" s="2501"/>
      <c r="I66" s="138"/>
      <c r="J66" s="3133"/>
      <c r="K66" s="2503" t="s">
        <v>2252</v>
      </c>
      <c r="L66" s="1752" t="e">
        <f ca="1">M49*0.5%</f>
        <v>#REF!</v>
      </c>
      <c r="M66" s="24" t="e">
        <f ca="1">IF(L66&gt;0.5,0.5,ROUND(L66,0))</f>
        <v>#REF!</v>
      </c>
      <c r="N66" s="138" t="s">
        <v>2253</v>
      </c>
      <c r="Z66" s="2427"/>
      <c r="AI66" s="2428"/>
    </row>
    <row r="67" spans="1:35" ht="14.25" customHeight="1">
      <c r="A67" s="203" t="s">
        <v>773</v>
      </c>
      <c r="B67" s="204" t="s">
        <v>2254</v>
      </c>
      <c r="C67" s="207" t="e">
        <f ca="1">C63-C66</f>
        <v>#REF!</v>
      </c>
      <c r="D67" s="200" t="s">
        <v>32</v>
      </c>
      <c r="E67" s="201"/>
      <c r="F67" s="2493"/>
      <c r="G67" s="2493"/>
      <c r="H67" s="2501"/>
      <c r="I67" s="138"/>
      <c r="J67" s="3133"/>
      <c r="K67" s="2503" t="s">
        <v>2255</v>
      </c>
      <c r="L67" s="1752"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7"/>
      <c r="AI67" s="2428"/>
    </row>
    <row r="68" spans="1:35" ht="14.25" customHeight="1" thickBot="1">
      <c r="A68" s="208" t="s">
        <v>774</v>
      </c>
      <c r="B68" s="209" t="s">
        <v>2256</v>
      </c>
      <c r="C68" s="210" t="e">
        <f ca="1">IF(C67&lt;=0,0,ROUND(C67*D68,0))</f>
        <v>#REF!</v>
      </c>
      <c r="D68" s="211">
        <f>'数据-取费表'!B41</f>
        <v>0</v>
      </c>
      <c r="E68" s="212"/>
      <c r="F68" s="2493"/>
      <c r="G68" s="2493"/>
      <c r="H68" s="2501"/>
      <c r="I68" s="138"/>
      <c r="J68" s="3133"/>
      <c r="K68" s="2503" t="s">
        <v>2257</v>
      </c>
      <c r="L68" s="1752" t="e">
        <f ca="1">IF(M49&gt;10000,M49*0.5%,IF(AND(M49&gt;5000,M49&lt;=10000),M49*1%,IF(AND(M49&gt;1000,M49&lt;=5000),M49*2%,IF(AND(M49&gt;200,M49&lt;=1000),M49*3%,M49*5%))))</f>
        <v>#REF!</v>
      </c>
      <c r="M68" s="24" t="e">
        <f ca="1">ROUND(L68,1)</f>
        <v>#REF!</v>
      </c>
      <c r="Z68" s="2427"/>
      <c r="AI68" s="2428"/>
    </row>
    <row r="69" spans="1:35" s="2450" customFormat="1" ht="16.5" customHeight="1">
      <c r="A69" s="2504"/>
      <c r="B69" s="2505"/>
      <c r="C69" s="2506"/>
      <c r="D69" s="2507"/>
      <c r="E69" s="2508"/>
      <c r="F69" s="2169"/>
      <c r="G69" s="2169"/>
      <c r="H69" s="2168"/>
      <c r="I69" s="2422"/>
      <c r="J69" s="3133"/>
      <c r="K69" s="2503" t="s">
        <v>2258</v>
      </c>
      <c r="L69" s="2509"/>
      <c r="M69" s="24" t="e">
        <f ca="1">ROUND(SUM(M63:M68),0)</f>
        <v>#REF!</v>
      </c>
      <c r="N69" s="1753" t="e">
        <f ca="1">M69/M49</f>
        <v>#REF!</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092" t="s">
        <v>2259</v>
      </c>
      <c r="B70" s="3093"/>
      <c r="C70" s="3093"/>
      <c r="D70" s="3093"/>
      <c r="E70" s="3093"/>
      <c r="F70" s="3093"/>
      <c r="G70" s="3093"/>
      <c r="H70" s="3093"/>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71" t="s">
        <v>2240</v>
      </c>
      <c r="B71" s="3072"/>
      <c r="C71" s="1804"/>
      <c r="D71" s="1804"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t="e">
        <f ca="1">ROUND(D45/(1+'数据-取费表'!C42),0)</f>
        <v>#REF!</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t="e">
        <f ca="1">C74+C78</f>
        <v>#REF!</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066" t="s">
        <v>2268</v>
      </c>
      <c r="F76" s="3043"/>
      <c r="G76" s="3043"/>
      <c r="H76" s="3091"/>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0</v>
      </c>
      <c r="E77" s="15" t="s">
        <v>2270</v>
      </c>
      <c r="F77" s="224"/>
      <c r="G77" s="2517" t="s">
        <v>2271</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t="e">
        <f ca="1">ROUND(D45*D78/(1+'数据-取费表'!C42),0)</f>
        <v>#REF!</v>
      </c>
      <c r="D78" s="226">
        <f>'数据-取费表'!B43</f>
        <v>0</v>
      </c>
      <c r="E78" s="3052" t="s">
        <v>2273</v>
      </c>
      <c r="F78" s="3053"/>
      <c r="G78" s="3053"/>
      <c r="H78" s="3062"/>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t="e">
        <f ca="1">C72-C73</f>
        <v>#REF!</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t="e">
        <f ca="1">IF(C79&lt;=0,0,C79/C73)</f>
        <v>#REF!</v>
      </c>
      <c r="D80" s="200" t="s">
        <v>32</v>
      </c>
      <c r="E80" s="15" t="e">
        <f ca="1">IF(C80&gt;=200%,"增值额超过扣除项目金额200%",IF(C80&gt;=100%,"增值额超过扣除项目金额100%，未超过200%",IF(C80&gt;=50%,"增值额超过扣除项目金额50%，未超过100%",IF(C80&lt;50%,"增值额未超过扣除项目金额50%"))))</f>
        <v>#REF!</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092" t="s">
        <v>2277</v>
      </c>
      <c r="B83" s="3093"/>
      <c r="C83" s="3093"/>
      <c r="D83" s="3093"/>
      <c r="E83" s="3093"/>
      <c r="F83" s="3093"/>
      <c r="G83" s="3093"/>
      <c r="H83" s="3093"/>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71" t="s">
        <v>2240</v>
      </c>
      <c r="B84" s="3072"/>
      <c r="C84" s="1804"/>
      <c r="D84" s="1804"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t="e">
        <f ca="1">ROUND(D45/(1+'数据-取费表'!C42),0)</f>
        <v>#REF!</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t="e">
        <f ca="1">IF(H88="仅含出让金",C87+C90+C91+C92+C93+C94,C87+C91+C92+C93+C94)</f>
        <v>#REF!</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800"/>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0</v>
      </c>
      <c r="E89" s="237" t="s">
        <v>2282</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052" t="s">
        <v>2286</v>
      </c>
      <c r="F91" s="3053"/>
      <c r="G91" s="3053"/>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052" t="s">
        <v>2290</v>
      </c>
      <c r="F92" s="3053"/>
      <c r="G92" s="3053"/>
      <c r="H92" s="3062"/>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t="e">
        <f ca="1">ROUND(D45*D93/(1+'数据-取费表'!C42),0)</f>
        <v>#REF!</v>
      </c>
      <c r="D93" s="226">
        <f>'数据-取费表'!B43</f>
        <v>0</v>
      </c>
      <c r="E93" s="3052" t="s">
        <v>2273</v>
      </c>
      <c r="F93" s="3053"/>
      <c r="G93" s="3053"/>
      <c r="H93" s="3062"/>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063" t="s">
        <v>2294</v>
      </c>
      <c r="F94" s="3064"/>
      <c r="G94" s="3064"/>
      <c r="H94" s="3065"/>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t="e">
        <f ca="1">ROUND(C85-C86,0)</f>
        <v>#REF!</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t="e">
        <f ca="1">IF(C95&lt;=0,0,C95/C86)</f>
        <v>#REF!</v>
      </c>
      <c r="D96" s="200" t="s">
        <v>32</v>
      </c>
      <c r="E96" s="15" t="e">
        <f ca="1">IF(C96&gt;=200%,"增值额超过扣除项目金额200%",IF(C96&gt;=100%,"增值额超过扣除项目金额100%，未超过200%",IF(C96&gt;=50%,"增值额超过扣除项目金额50%，未超过100%",IF(C96&lt;50%,"增值额未超过扣除项目金额50%"))))</f>
        <v>#REF!</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037" t="s">
        <v>2296</v>
      </c>
      <c r="B100" s="3038"/>
      <c r="C100" s="3038"/>
      <c r="D100" s="3054"/>
      <c r="E100" s="3038" t="s">
        <v>2297</v>
      </c>
      <c r="F100" s="3038"/>
      <c r="G100" s="3038"/>
      <c r="H100" s="3054"/>
      <c r="I100" s="138"/>
    </row>
    <row r="101" spans="1:35" ht="18.75" customHeight="1">
      <c r="A101" s="3116" t="s">
        <v>2298</v>
      </c>
      <c r="B101" s="3117"/>
      <c r="C101" s="736">
        <f>C4</f>
        <v>0</v>
      </c>
      <c r="D101" s="737">
        <f>D4</f>
        <v>0</v>
      </c>
      <c r="E101" s="3130" t="s">
        <v>2299</v>
      </c>
      <c r="F101" s="3084"/>
      <c r="G101" s="2524" t="s">
        <v>2300</v>
      </c>
      <c r="H101" s="1048" t="e">
        <f ca="1">H118</f>
        <v>#REF!</v>
      </c>
      <c r="I101" s="138"/>
    </row>
    <row r="102" spans="1:35" ht="18.75" customHeight="1">
      <c r="A102" s="3086" t="s">
        <v>2301</v>
      </c>
      <c r="B102" s="2524" t="s">
        <v>2300</v>
      </c>
      <c r="C102" s="736" t="e">
        <f ca="1">C19</f>
        <v>#REF!</v>
      </c>
      <c r="D102" s="737" t="e">
        <f ca="1">D19</f>
        <v>#REF!</v>
      </c>
      <c r="E102" s="3130"/>
      <c r="F102" s="3084"/>
      <c r="G102" s="2524" t="s">
        <v>2302</v>
      </c>
      <c r="H102" s="371" t="e">
        <f ca="1">I118</f>
        <v>#REF!</v>
      </c>
      <c r="I102" s="138"/>
    </row>
    <row r="103" spans="1:35" ht="42.75" customHeight="1">
      <c r="A103" s="3086"/>
      <c r="B103" s="2524" t="s">
        <v>2302</v>
      </c>
      <c r="C103" s="738" t="e">
        <f ca="1">C20</f>
        <v>#REF!</v>
      </c>
      <c r="D103" s="739" t="e">
        <f ca="1">D20</f>
        <v>#REF!</v>
      </c>
      <c r="E103" s="3125" t="s">
        <v>2303</v>
      </c>
      <c r="F103" s="3126"/>
      <c r="G103" s="2525" t="s">
        <v>2304</v>
      </c>
      <c r="H103" s="1048">
        <f>IF(D36="正常操作",H104+H105+H106,H105+H106)</f>
        <v>0</v>
      </c>
      <c r="I103" s="138"/>
    </row>
    <row r="104" spans="1:35" ht="18.75" customHeight="1">
      <c r="A104" s="3086" t="s">
        <v>2305</v>
      </c>
      <c r="B104" s="2526" t="s">
        <v>2300</v>
      </c>
      <c r="C104" s="740" t="e">
        <f ca="1">H118</f>
        <v>#REF!</v>
      </c>
      <c r="D104" s="741"/>
      <c r="E104" s="2270" t="s">
        <v>2306</v>
      </c>
      <c r="F104" s="2261"/>
      <c r="G104" s="2525" t="s">
        <v>2304</v>
      </c>
      <c r="H104" s="1049">
        <f>IF(D36="同一抵押权人同一抵押物续贷",C36&amp;"（未扣减，详见特别提示）",C36)</f>
        <v>0</v>
      </c>
      <c r="I104" s="138"/>
    </row>
    <row r="105" spans="1:35" ht="18.75" customHeight="1" thickBot="1">
      <c r="A105" s="3087"/>
      <c r="B105" s="2527" t="s">
        <v>2302</v>
      </c>
      <c r="C105" s="742" t="e">
        <f ca="1">I118</f>
        <v>#REF!</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083" t="str">
        <f>IF(项目基本情况!E8="已注销","——","3.房地产抵押价值")</f>
        <v>——</v>
      </c>
      <c r="F107" s="3084"/>
      <c r="G107" s="2524" t="s">
        <v>2300</v>
      </c>
      <c r="H107" s="1048" t="str">
        <f>IF(E107="——","——",H101-H103)</f>
        <v>——</v>
      </c>
      <c r="I107" s="138"/>
    </row>
    <row r="108" spans="1:35" ht="18.75" customHeight="1">
      <c r="A108" s="138"/>
      <c r="B108" s="138"/>
      <c r="C108" s="138"/>
      <c r="D108" s="138"/>
      <c r="E108" s="3083"/>
      <c r="F108" s="3084"/>
      <c r="G108" s="2524" t="s">
        <v>2302</v>
      </c>
      <c r="H108" s="371" t="e">
        <f>ROUND(H107*10000/'数据-汇总表'!E3,0)</f>
        <v>#VALUE!</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3.抵押担保权已注销时的房地产抵押价值</v>
      </c>
      <c r="F109" s="3084"/>
      <c r="G109" s="2524" t="s">
        <v>2300</v>
      </c>
      <c r="H109" s="348" t="e">
        <f ca="1">IF(E109="——","——",H101-H105-H106)</f>
        <v>#REF!</v>
      </c>
      <c r="I109" s="138"/>
    </row>
    <row r="110" spans="1:35" ht="18.75" customHeight="1">
      <c r="A110" s="138"/>
      <c r="B110" s="138"/>
      <c r="C110" s="138"/>
      <c r="D110" s="138"/>
      <c r="E110" s="3083"/>
      <c r="F110" s="3084"/>
      <c r="G110" s="2524" t="s">
        <v>2302</v>
      </c>
      <c r="H110" s="371" t="e">
        <f ca="1">IF(H109="——","——",ROUND(H109*10000/'数据-汇总表'!E3,0))</f>
        <v>#REF!</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24" t="s">
        <v>2300</v>
      </c>
      <c r="H111" s="1048" t="str">
        <f>IF(E111="——","——",N59)</f>
        <v>——</v>
      </c>
      <c r="I111" s="138"/>
    </row>
    <row r="112" spans="1:35" ht="18.75" customHeight="1" thickBot="1">
      <c r="A112" s="138"/>
      <c r="B112" s="138"/>
      <c r="C112" s="138"/>
      <c r="D112" s="138"/>
      <c r="E112" s="3120"/>
      <c r="F112" s="3121"/>
      <c r="G112" s="2529" t="s">
        <v>2302</v>
      </c>
      <c r="H112" s="790" t="str">
        <f>IF(E111="——","——",N61)</f>
        <v>——</v>
      </c>
      <c r="I112" s="138"/>
    </row>
    <row r="113" spans="1:11" ht="18.75" customHeight="1">
      <c r="A113" s="138"/>
      <c r="B113" s="138"/>
      <c r="C113" s="138"/>
      <c r="D113" s="138"/>
      <c r="E113" s="3088" t="s">
        <v>2308</v>
      </c>
      <c r="F113" s="3088"/>
      <c r="G113" s="3088"/>
      <c r="H113" s="3088"/>
      <c r="I113" s="138"/>
    </row>
    <row r="114" spans="1:11" ht="3.75" customHeight="1">
      <c r="A114" s="2422"/>
      <c r="B114" s="2422"/>
      <c r="C114" s="2422"/>
      <c r="D114" s="2422"/>
      <c r="E114" s="2500"/>
      <c r="F114" s="2500"/>
      <c r="G114" s="2500"/>
      <c r="H114" s="2500"/>
      <c r="I114" s="2422"/>
    </row>
    <row r="115" spans="1:11" ht="18.75" customHeight="1">
      <c r="A115" s="3101" t="s">
        <v>2310</v>
      </c>
      <c r="B115" s="3102"/>
      <c r="C115" s="3102"/>
      <c r="D115" s="3102"/>
      <c r="E115" s="3102"/>
      <c r="F115" s="3102"/>
      <c r="G115" s="3102"/>
      <c r="H115" s="3102"/>
      <c r="I115" s="3103"/>
    </row>
    <row r="116" spans="1:11" ht="27" customHeight="1">
      <c r="A116" s="2994" t="s">
        <v>2311</v>
      </c>
      <c r="B116" s="3089" t="s">
        <v>2312</v>
      </c>
      <c r="C116" s="3089" t="s">
        <v>2313</v>
      </c>
      <c r="D116" s="3105" t="s">
        <v>2314</v>
      </c>
      <c r="E116" s="3106"/>
      <c r="F116" s="3097" t="s">
        <v>2315</v>
      </c>
      <c r="G116" s="3097"/>
      <c r="H116" s="2994" t="s">
        <v>2316</v>
      </c>
      <c r="I116" s="2994"/>
    </row>
    <row r="117" spans="1:11" ht="18.75" customHeight="1">
      <c r="A117" s="2994"/>
      <c r="B117" s="3090"/>
      <c r="C117" s="3090"/>
      <c r="D117" s="1798" t="s">
        <v>2317</v>
      </c>
      <c r="E117" s="1798" t="s">
        <v>2318</v>
      </c>
      <c r="F117" s="1798" t="s">
        <v>2317</v>
      </c>
      <c r="G117" s="1798" t="s">
        <v>2319</v>
      </c>
      <c r="H117" s="1798" t="s">
        <v>2317</v>
      </c>
      <c r="I117" s="1798" t="s">
        <v>2319</v>
      </c>
    </row>
    <row r="118" spans="1:11" ht="24.75" customHeight="1">
      <c r="A118" s="2530" t="str">
        <f>项目基本情况!S2</f>
        <v>北京市红领巾公园南侧建设项目出让国有建设用地使用权及在建建筑物房地产</v>
      </c>
      <c r="B118" s="1798">
        <f>M18</f>
        <v>0</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t="e">
        <f ca="1">ROUND(IF(D32="总价",C32,I118*B118/10000),0)</f>
        <v>#REF!</v>
      </c>
      <c r="I118" s="1798" t="e">
        <f ca="1">ROUND(IF(D32="楼面单价",C32,H118*10000/B118),0)</f>
        <v>#REF!</v>
      </c>
    </row>
    <row r="119" spans="1:11" ht="18.75" customHeight="1">
      <c r="A119" s="2994" t="s">
        <v>2320</v>
      </c>
      <c r="B119" s="2994"/>
      <c r="C119" s="2994"/>
      <c r="D119" s="3094" t="e">
        <f ca="1">NUMBERSTRING(INT(D118*10000),2)&amp;"元整"</f>
        <v>#REF!</v>
      </c>
      <c r="E119" s="3096"/>
      <c r="F119" s="3094" t="e">
        <f ca="1">NUMBERSTRING(INT(F118*10000),2)&amp;"元整"</f>
        <v>#REF!</v>
      </c>
      <c r="G119" s="3096"/>
      <c r="H119" s="3094" t="e">
        <f ca="1">NUMBERSTRING(INT(H118*10000),2)&amp;"元整"</f>
        <v>#REF!</v>
      </c>
      <c r="I119" s="3096"/>
    </row>
    <row r="120" spans="1:11" ht="18.75" customHeight="1">
      <c r="A120" s="3122" t="str">
        <f>IF(项目基本情况!B9="房地产市场价值","",MID(E103,3,LEN(E103)-2))</f>
        <v/>
      </c>
      <c r="B120" s="3123"/>
      <c r="C120" s="3124"/>
      <c r="D120" s="3122">
        <f>H103</f>
        <v>0</v>
      </c>
      <c r="E120" s="3123"/>
      <c r="F120" s="3123"/>
      <c r="G120" s="3123"/>
      <c r="H120" s="3123"/>
      <c r="I120" s="3124"/>
      <c r="K120" s="2427" t="str">
        <f>IF(D120=0,"故，本次评估不存在"&amp;A120,"故，本次评估"&amp;A120&amp;"为人民币"&amp;D120&amp;"万元整。")</f>
        <v>故，本次评估不存在</v>
      </c>
    </row>
    <row r="121" spans="1:11" ht="18.75" customHeight="1">
      <c r="A121" s="3098" t="s">
        <v>2320</v>
      </c>
      <c r="B121" s="3099"/>
      <c r="C121" s="3100"/>
      <c r="D121" s="3094" t="str">
        <f>IF(D120=0,"零元整",NUMBERSTRING(INT(D120*10000),2)&amp;"元整")</f>
        <v>零元整</v>
      </c>
      <c r="E121" s="3095"/>
      <c r="F121" s="3095"/>
      <c r="G121" s="3095"/>
      <c r="H121" s="3095"/>
      <c r="I121" s="3096"/>
    </row>
    <row r="122" spans="1:11" ht="18.75" customHeight="1">
      <c r="A122" s="3085" t="str">
        <f>IF(项目基本情况!B9="房地产市场价值","",MID(E107,3,LEN(E107)-2))</f>
        <v/>
      </c>
      <c r="B122" s="3085"/>
      <c r="C122" s="3085"/>
      <c r="D122" s="3122" t="str">
        <f>H107</f>
        <v>——</v>
      </c>
      <c r="E122" s="3123"/>
      <c r="F122" s="3123"/>
      <c r="G122" s="3123"/>
      <c r="H122" s="3123"/>
      <c r="I122" s="3124"/>
    </row>
    <row r="123" spans="1:11" ht="18.75" customHeight="1">
      <c r="A123" s="2994" t="s">
        <v>2320</v>
      </c>
      <c r="B123" s="2994"/>
      <c r="C123" s="2994"/>
      <c r="D123" s="3094" t="e">
        <f>NUMBERSTRING(INT(D122*10000),2)&amp;"元整"</f>
        <v>#VALUE!</v>
      </c>
      <c r="E123" s="3095"/>
      <c r="F123" s="3095"/>
      <c r="G123" s="3095"/>
      <c r="H123" s="3095"/>
      <c r="I123" s="3096"/>
    </row>
    <row r="124" spans="1:11" ht="18.75" customHeight="1">
      <c r="A124" s="3085" t="str">
        <f>IF(项目基本情况!B9="房地产市场价值","",MID(E109,3,LEN(E109)-2))</f>
        <v/>
      </c>
      <c r="B124" s="3085"/>
      <c r="C124" s="3085"/>
      <c r="D124" s="3122" t="e">
        <f ca="1">H109</f>
        <v>#REF!</v>
      </c>
      <c r="E124" s="3123"/>
      <c r="F124" s="3123"/>
      <c r="G124" s="3123"/>
      <c r="H124" s="3123"/>
      <c r="I124" s="3124"/>
    </row>
    <row r="125" spans="1:11" ht="18.75" customHeight="1">
      <c r="A125" s="2994" t="s">
        <v>2320</v>
      </c>
      <c r="B125" s="2994"/>
      <c r="C125" s="2994"/>
      <c r="D125" s="3094" t="e">
        <f ca="1">NUMBERSTRING(INT(D124*10000),2)&amp;"元整"</f>
        <v>#REF!</v>
      </c>
      <c r="E125" s="3095"/>
      <c r="F125" s="3095"/>
      <c r="G125" s="3095"/>
      <c r="H125" s="3095"/>
      <c r="I125" s="3096"/>
    </row>
    <row r="126" spans="1:11" ht="18.75" customHeight="1">
      <c r="A126" s="3085" t="str">
        <f>IF(项目基本情况!B9="房地产市场价值","",MID(E111,3,LEN(E111)-2))</f>
        <v/>
      </c>
      <c r="B126" s="3085"/>
      <c r="C126" s="3085"/>
      <c r="D126" s="3122" t="str">
        <f>H111</f>
        <v>——</v>
      </c>
      <c r="E126" s="3123"/>
      <c r="F126" s="3123"/>
      <c r="G126" s="3123"/>
      <c r="H126" s="3123"/>
      <c r="I126" s="3124"/>
    </row>
    <row r="127" spans="1:11" ht="18.75" customHeight="1">
      <c r="A127" s="2994" t="s">
        <v>2320</v>
      </c>
      <c r="B127" s="2994"/>
      <c r="C127" s="2994"/>
      <c r="D127" s="3094" t="e">
        <f>NUMBERSTRING(INT(D126*10000),2)&amp;"元整"</f>
        <v>#VALUE!</v>
      </c>
      <c r="E127" s="3095"/>
      <c r="F127" s="3095"/>
      <c r="G127" s="3095"/>
      <c r="H127" s="3095"/>
      <c r="I127" s="3096"/>
    </row>
    <row r="128" spans="1:11" ht="21.75" customHeight="1">
      <c r="A128" s="3104" t="s">
        <v>2321</v>
      </c>
      <c r="B128" s="3104"/>
      <c r="C128" s="3104"/>
      <c r="D128" s="3104"/>
      <c r="E128" s="3104"/>
      <c r="F128" s="3104"/>
      <c r="G128" s="3104"/>
      <c r="H128" s="3104"/>
      <c r="I128" s="3104"/>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6</v>
      </c>
    </row>
    <row r="2" spans="1:9" s="244" customFormat="1" ht="18" customHeight="1">
      <c r="A2" s="245" t="s">
        <v>2330</v>
      </c>
      <c r="B2" s="246" t="e">
        <f ca="1">IF(D2="——",C52,C52-E2)</f>
        <v>#DIV/0!</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t="e">
        <f ca="1">ROUND(B2*10000/(IF(B1="",'数据-汇总表'!E3,INDIRECT("'数据-取费表'!k"&amp;$G$1))),0)</f>
        <v>#DIV/0!</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0</v>
      </c>
      <c r="D5" s="255" t="s">
        <v>2337</v>
      </c>
      <c r="E5" s="256" t="s">
        <v>2338</v>
      </c>
      <c r="F5" s="256" t="s">
        <v>2339</v>
      </c>
      <c r="G5" s="257"/>
    </row>
    <row r="6" spans="1:9" s="258" customFormat="1" ht="13.5" customHeight="1">
      <c r="A6" s="952" t="s">
        <v>2340</v>
      </c>
      <c r="B6" s="259" t="s">
        <v>2341</v>
      </c>
      <c r="C6" s="260"/>
      <c r="D6" s="261"/>
      <c r="E6" s="262"/>
      <c r="F6" s="262"/>
      <c r="G6" s="263"/>
    </row>
    <row r="7" spans="1:9" s="258" customFormat="1" ht="13.5" customHeight="1">
      <c r="A7" s="952" t="s">
        <v>2342</v>
      </c>
      <c r="B7" s="259" t="s">
        <v>2343</v>
      </c>
      <c r="C7" s="264">
        <f>ROUND(C6*F7,0)</f>
        <v>0</v>
      </c>
      <c r="D7" s="264"/>
      <c r="E7" s="262"/>
      <c r="F7" s="265">
        <f>'数据-取费表'!B48+'数据-取费表'!B49</f>
        <v>0</v>
      </c>
      <c r="G7" s="263"/>
    </row>
    <row r="8" spans="1:9" s="267" customFormat="1">
      <c r="A8" s="952" t="s">
        <v>2344</v>
      </c>
      <c r="B8" s="259" t="s">
        <v>2345</v>
      </c>
      <c r="C8" s="264">
        <f>IF(G8="已包含在土地购买价格中","0",IF(B1="",'数据-取费表'!B29,IF(G9="全部缴纳",C9+C10,H9)))</f>
        <v>0</v>
      </c>
      <c r="D8" s="266"/>
      <c r="E8" s="264"/>
      <c r="F8" s="265"/>
      <c r="G8" s="2556"/>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7"/>
      <c r="H9" s="1393"/>
      <c r="I9" s="2558" t="s">
        <v>2347</v>
      </c>
    </row>
    <row r="10" spans="1:9" s="258" customFormat="1" ht="13.5" customHeight="1">
      <c r="A10" s="953" t="s">
        <v>801</v>
      </c>
      <c r="B10" s="268" t="s">
        <v>2348</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f ca="1">IF(G19="已包含在土地取得成本中","0",ROUND(D19*E19/10000,0))</f>
        <v>0</v>
      </c>
      <c r="D19" s="1039">
        <f ca="1">D9+D10</f>
        <v>0</v>
      </c>
      <c r="E19" s="255">
        <f>'数据-取费表'!B31</f>
        <v>200</v>
      </c>
      <c r="F19" s="275"/>
      <c r="G19" s="2556"/>
    </row>
    <row r="20" spans="1:7" s="258" customFormat="1" ht="13.5" customHeight="1">
      <c r="A20" s="299" t="s">
        <v>2361</v>
      </c>
      <c r="B20" s="254" t="s">
        <v>2362</v>
      </c>
      <c r="C20" s="276">
        <f ca="1">ROUND((C5+C19)*F20,0)</f>
        <v>0</v>
      </c>
      <c r="D20" s="276"/>
      <c r="E20" s="276"/>
      <c r="F20" s="277">
        <f>'数据-取费表'!B37</f>
        <v>0</v>
      </c>
      <c r="G20" s="278" t="s">
        <v>2363</v>
      </c>
    </row>
    <row r="21" spans="1:7" s="258" customFormat="1" ht="13.5" customHeight="1">
      <c r="A21" s="299" t="s">
        <v>2364</v>
      </c>
      <c r="B21" s="254" t="s">
        <v>2365</v>
      </c>
      <c r="C21" s="279">
        <f>F21</f>
        <v>0</v>
      </c>
      <c r="D21" s="280" t="s">
        <v>2366</v>
      </c>
      <c r="E21" s="276"/>
      <c r="F21" s="277">
        <f>'数据-取费表'!B38</f>
        <v>0</v>
      </c>
      <c r="G21" s="278" t="s">
        <v>2367</v>
      </c>
    </row>
    <row r="22" spans="1:7" s="258" customFormat="1" ht="13.5" customHeight="1">
      <c r="A22" s="299" t="s">
        <v>2368</v>
      </c>
      <c r="B22" s="254" t="s">
        <v>2369</v>
      </c>
      <c r="C22" s="1357">
        <f ca="1">ROUND(SUM(C23:C25),0)</f>
        <v>0</v>
      </c>
      <c r="D22" s="279">
        <f ca="1">C26</f>
        <v>0</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0</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0</v>
      </c>
      <c r="D25" s="282"/>
      <c r="E25" s="285"/>
      <c r="F25" s="283"/>
      <c r="G25" s="286" t="s">
        <v>2378</v>
      </c>
    </row>
    <row r="26" spans="1:7" s="258" customFormat="1">
      <c r="A26" s="954" t="s">
        <v>795</v>
      </c>
      <c r="B26" s="259" t="s">
        <v>2379</v>
      </c>
      <c r="C26" s="282">
        <f ca="1">ROUND(IF('数据-取费表'!B22&lt;=1,F21*F22*'数据-取费表'!B23/2,F21*(POWER((1+F22),'数据-取费表'!B23/2)-1)),4)</f>
        <v>0</v>
      </c>
      <c r="D26" s="282"/>
      <c r="E26" s="285"/>
      <c r="F26" s="283"/>
      <c r="G26" s="287"/>
    </row>
    <row r="27" spans="1:7" s="258" customFormat="1" ht="24.75">
      <c r="A27" s="299" t="s">
        <v>2380</v>
      </c>
      <c r="B27" s="288" t="s">
        <v>2381</v>
      </c>
      <c r="C27" s="289" t="e">
        <f ca="1">C28</f>
        <v>#DIV/0!</v>
      </c>
      <c r="D27" s="279" t="e">
        <f ca="1">C29</f>
        <v>#DIV/0!</v>
      </c>
      <c r="E27" s="280" t="s">
        <v>2382</v>
      </c>
      <c r="F27" s="290" t="e">
        <f ca="1">IF(B1="",'数据-取费表'!Q16,INDIRECT("'数据-取费表'!q"&amp;$G$1))</f>
        <v>#DIV/0!</v>
      </c>
      <c r="G27" s="291" t="s">
        <v>2383</v>
      </c>
    </row>
    <row r="28" spans="1:7" s="258" customFormat="1" ht="13.5" customHeight="1">
      <c r="A28" s="954" t="s">
        <v>791</v>
      </c>
      <c r="B28" s="292" t="s">
        <v>2384</v>
      </c>
      <c r="C28" s="293" t="e">
        <f ca="1">ROUND((C5+C19+C20)*F27*'数据-取费表'!B21/'数据-取费表'!B20,0)</f>
        <v>#DIV/0!</v>
      </c>
      <c r="D28" s="279"/>
      <c r="E28" s="280"/>
      <c r="F28" s="290"/>
      <c r="G28" s="291"/>
    </row>
    <row r="29" spans="1:7" s="258" customFormat="1" ht="13.5" customHeight="1">
      <c r="A29" s="954" t="s">
        <v>792</v>
      </c>
      <c r="B29" s="292" t="s">
        <v>2385</v>
      </c>
      <c r="C29" s="282" t="e">
        <f ca="1">ROUND(C21*F27*'数据-取费表'!B21/'数据-取费表'!B20,4)</f>
        <v>#DIV/0!</v>
      </c>
      <c r="D29" s="279"/>
      <c r="E29" s="280"/>
      <c r="F29" s="290"/>
      <c r="G29" s="291"/>
    </row>
    <row r="30" spans="1:7" s="258" customFormat="1" ht="13.5" customHeight="1">
      <c r="A30" s="299" t="s">
        <v>2386</v>
      </c>
      <c r="B30" s="254" t="s">
        <v>2387</v>
      </c>
      <c r="C30" s="279">
        <f>ROUND(F30/(1+'数据-取费表'!C42),4)</f>
        <v>0</v>
      </c>
      <c r="D30" s="280" t="s">
        <v>2382</v>
      </c>
      <c r="E30" s="285"/>
      <c r="F30" s="281">
        <f>'数据-取费表'!B41</f>
        <v>0</v>
      </c>
      <c r="G30" s="278" t="s">
        <v>2388</v>
      </c>
    </row>
    <row r="31" spans="1:7" ht="16.5" customHeight="1">
      <c r="A31" s="253">
        <v>1</v>
      </c>
      <c r="B31" s="254" t="s">
        <v>2389</v>
      </c>
      <c r="C31" s="255" t="e">
        <f ca="1">ROUND((C5+C19+C20+C22+C27)/(1-C21-D22-D27-C30),0)</f>
        <v>#DIV/0!</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t="e">
        <f ca="1">SUM(C34:C38)</f>
        <v>#DIV/0!</v>
      </c>
      <c r="D33" s="276"/>
      <c r="E33" s="256"/>
      <c r="F33" s="285"/>
      <c r="G33" s="278"/>
    </row>
    <row r="34" spans="1:7" s="302" customFormat="1" ht="13.5" customHeight="1">
      <c r="A34" s="954" t="s">
        <v>791</v>
      </c>
      <c r="B34" s="259" t="s">
        <v>2393</v>
      </c>
      <c r="C34" s="264" t="e">
        <f ca="1">IF(B1="",IF(F34=100%,'数据-取费表'!M16,'数据-取费表'!O16),IF(F34=100%,INDIRECT("'数据-取费表'!m"&amp;$G$1)+INDIRECT("'数据-取费表'!t"&amp;$G$1),INDIRECT("'数据-取费表'!o"&amp;$G$1)+INDIRECT("'数据-取费表'!aq"&amp;$G$1)))</f>
        <v>#DIV/0!</v>
      </c>
      <c r="D34" s="261"/>
      <c r="E34" s="264"/>
      <c r="F34" s="301" t="e">
        <f ca="1">IF('数据-取费表'!B24=0,1,IF(B1="",'数据-取费表'!N16,INDIRECT("'数据-取费表'!n"&amp;$G$1)))</f>
        <v>#DIV/0!</v>
      </c>
      <c r="G34" s="263" t="s">
        <v>2394</v>
      </c>
    </row>
    <row r="35" spans="1:7" ht="13.5" customHeight="1">
      <c r="A35" s="954" t="s">
        <v>796</v>
      </c>
      <c r="B35" s="259" t="s">
        <v>2395</v>
      </c>
      <c r="C35" s="264" t="e">
        <f ca="1">ROUND(C34*F35,0)</f>
        <v>#DIV/0!</v>
      </c>
      <c r="D35" s="264"/>
      <c r="E35" s="264"/>
      <c r="F35" s="303">
        <f>'数据-取费表'!B33</f>
        <v>0</v>
      </c>
      <c r="G35" s="263" t="s">
        <v>2396</v>
      </c>
    </row>
    <row r="36" spans="1:7" ht="24">
      <c r="A36" s="954" t="s">
        <v>797</v>
      </c>
      <c r="B36" s="259" t="s">
        <v>2397</v>
      </c>
      <c r="C36" s="264" t="e">
        <f ca="1">ROUND(IF(B1="",SUMIF('数据-取费表'!C:C,"住宅",IF(F34=100%,'数据-取费表'!M:M,'数据-取费表'!O:O))*F36,IF(INDIRECT("'数据-取费表'!c"&amp;$G$1)="住宅",IF(F34=100%,INDIRECT("'数据-取费表'!m"&amp;$G$1)*F36,INDIRECT("'数据-取费表'!o"&amp;$G$1)*F36),0)),0)</f>
        <v>#DIV/0!</v>
      </c>
      <c r="D36" s="264"/>
      <c r="E36" s="264"/>
      <c r="F36" s="303">
        <f>'数据-取费表'!B34</f>
        <v>0</v>
      </c>
      <c r="G36" s="304" t="s">
        <v>2398</v>
      </c>
    </row>
    <row r="37" spans="1:7" s="302" customFormat="1" ht="13.5" customHeight="1">
      <c r="A37" s="954" t="s">
        <v>798</v>
      </c>
      <c r="B37" s="259" t="s">
        <v>2399</v>
      </c>
      <c r="C37" s="293" t="e">
        <f ca="1">ROUND(E37*D37*F34/10000,0)</f>
        <v>#DIV/0!</v>
      </c>
      <c r="D37" s="261">
        <f ca="1">D19</f>
        <v>0</v>
      </c>
      <c r="E37" s="293">
        <f>'数据-取费表'!B35</f>
        <v>0</v>
      </c>
      <c r="F37" s="303"/>
      <c r="G37" s="305" t="s">
        <v>2400</v>
      </c>
    </row>
    <row r="38" spans="1:7" ht="13.5" customHeight="1">
      <c r="A38" s="954" t="s">
        <v>799</v>
      </c>
      <c r="B38" s="259" t="s">
        <v>2401</v>
      </c>
      <c r="C38" s="264" t="e">
        <f ca="1">ROUND(C34*F38,0)</f>
        <v>#DIV/0!</v>
      </c>
      <c r="D38" s="264"/>
      <c r="E38" s="264"/>
      <c r="F38" s="303">
        <f>'数据-取费表'!B36</f>
        <v>0</v>
      </c>
      <c r="G38" s="263" t="s">
        <v>2396</v>
      </c>
    </row>
    <row r="39" spans="1:7" s="258" customFormat="1" ht="13.5" customHeight="1">
      <c r="A39" s="299" t="s">
        <v>2402</v>
      </c>
      <c r="B39" s="254" t="s">
        <v>2403</v>
      </c>
      <c r="C39" s="276" t="e">
        <f ca="1">ROUND(C33*F20,0)</f>
        <v>#DIV/0!</v>
      </c>
      <c r="D39" s="276"/>
      <c r="E39" s="276"/>
      <c r="F39" s="277"/>
      <c r="G39" s="278" t="s">
        <v>2404</v>
      </c>
    </row>
    <row r="40" spans="1:7" s="258" customFormat="1" ht="13.5" customHeight="1">
      <c r="A40" s="299" t="s">
        <v>2405</v>
      </c>
      <c r="B40" s="254" t="s">
        <v>2406</v>
      </c>
      <c r="C40" s="1731">
        <f>F21</f>
        <v>0</v>
      </c>
      <c r="D40" s="280" t="s">
        <v>2407</v>
      </c>
      <c r="E40" s="276"/>
      <c r="F40" s="277"/>
      <c r="G40" s="278" t="s">
        <v>2408</v>
      </c>
    </row>
    <row r="41" spans="1:7" s="258" customFormat="1" ht="13.5" customHeight="1">
      <c r="A41" s="299" t="s">
        <v>2409</v>
      </c>
      <c r="B41" s="254" t="s">
        <v>2410</v>
      </c>
      <c r="C41" s="276" t="e">
        <f ca="1">ROUND(SUM(C42:C43),0)</f>
        <v>#DIV/0!</v>
      </c>
      <c r="D41" s="279">
        <f ca="1">C44</f>
        <v>0</v>
      </c>
      <c r="E41" s="280" t="s">
        <v>2407</v>
      </c>
      <c r="F41" s="281"/>
      <c r="G41" s="278" t="str">
        <f>IF('数据-取费表'!B22&lt;=1,"单利计息","复利计息")</f>
        <v>复利计息</v>
      </c>
    </row>
    <row r="42" spans="1:7" ht="13.5" customHeight="1">
      <c r="A42" s="954" t="s">
        <v>791</v>
      </c>
      <c r="B42" s="259" t="s">
        <v>2411</v>
      </c>
      <c r="C42" s="282" t="e">
        <f ca="1">ROUND(IF('数据-取费表'!B22&lt;=1,C33*F22*'数据-取费表'!B21/2,C33*(POWER((1+F22),'数据-取费表'!B21/2)-1)),0)</f>
        <v>#DIV/0!</v>
      </c>
      <c r="D42" s="282"/>
      <c r="E42" s="282"/>
      <c r="F42" s="283"/>
      <c r="G42" s="3136" t="s">
        <v>2412</v>
      </c>
    </row>
    <row r="43" spans="1:7" ht="13.5" customHeight="1">
      <c r="A43" s="954" t="s">
        <v>792</v>
      </c>
      <c r="B43" s="259" t="s">
        <v>2413</v>
      </c>
      <c r="C43" s="282" t="e">
        <f ca="1">ROUND(IF('数据-取费表'!B22&lt;=1,C39*F22*'数据-取费表'!B21/2,C39*(POWER((1+F22),'数据-取费表'!B21/2)-1)),0)</f>
        <v>#DIV/0!</v>
      </c>
      <c r="D43" s="282"/>
      <c r="E43" s="282"/>
      <c r="F43" s="283"/>
      <c r="G43" s="3137"/>
    </row>
    <row r="44" spans="1:7" ht="13.5" customHeight="1">
      <c r="A44" s="954" t="s">
        <v>793</v>
      </c>
      <c r="B44" s="259" t="s">
        <v>2414</v>
      </c>
      <c r="C44" s="282">
        <f ca="1">ROUND(IF('数据-取费表'!B22&lt;=1,C40*F22*'数据-取费表'!B21/2,C40*(POWER((1+F22),'数据-取费表'!B21/2)-1)),4)</f>
        <v>0</v>
      </c>
      <c r="D44" s="282"/>
      <c r="E44" s="282"/>
      <c r="F44" s="283"/>
      <c r="G44" s="3138"/>
    </row>
    <row r="45" spans="1:7" s="258" customFormat="1" ht="13.5" customHeight="1">
      <c r="A45" s="299" t="s">
        <v>2415</v>
      </c>
      <c r="B45" s="288" t="s">
        <v>2381</v>
      </c>
      <c r="C45" s="289" t="e">
        <f ca="1">C46</f>
        <v>#DIV/0!</v>
      </c>
      <c r="D45" s="279" t="e">
        <f ca="1">C47</f>
        <v>#DIV/0!</v>
      </c>
      <c r="E45" s="280" t="s">
        <v>2407</v>
      </c>
      <c r="F45" s="290"/>
      <c r="G45" s="291" t="s">
        <v>2416</v>
      </c>
    </row>
    <row r="46" spans="1:7" s="258" customFormat="1" ht="13.5" customHeight="1">
      <c r="A46" s="954" t="s">
        <v>791</v>
      </c>
      <c r="B46" s="292" t="s">
        <v>2417</v>
      </c>
      <c r="C46" s="293" t="e">
        <f ca="1">ROUND((C33+C39)*F27,0)</f>
        <v>#DIV/0!</v>
      </c>
      <c r="D46" s="307"/>
      <c r="E46" s="280"/>
      <c r="F46" s="290"/>
      <c r="G46" s="291"/>
    </row>
    <row r="47" spans="1:7" s="258" customFormat="1" ht="13.5" customHeight="1">
      <c r="A47" s="954" t="s">
        <v>792</v>
      </c>
      <c r="B47" s="292" t="s">
        <v>2418</v>
      </c>
      <c r="C47" s="282" t="e">
        <f ca="1">ROUND(C40*F27,4)</f>
        <v>#DIV/0!</v>
      </c>
      <c r="D47" s="307"/>
      <c r="E47" s="280"/>
      <c r="F47" s="290"/>
      <c r="G47" s="291"/>
    </row>
    <row r="48" spans="1:7" s="258" customFormat="1" ht="13.5" customHeight="1">
      <c r="A48" s="299" t="s">
        <v>2380</v>
      </c>
      <c r="B48" s="254" t="s">
        <v>2419</v>
      </c>
      <c r="C48" s="1731">
        <f>ROUND(F30/(1+'数据-取费表'!C42),4)</f>
        <v>0</v>
      </c>
      <c r="D48" s="280" t="s">
        <v>2407</v>
      </c>
      <c r="E48" s="276"/>
      <c r="F48" s="281"/>
      <c r="G48" s="278" t="s">
        <v>2420</v>
      </c>
    </row>
    <row r="49" spans="1:7" ht="16.5" customHeight="1">
      <c r="A49" s="299" t="s">
        <v>2386</v>
      </c>
      <c r="B49" s="254" t="s">
        <v>2421</v>
      </c>
      <c r="C49" s="276" t="e">
        <f ca="1">ROUND((C33+C39+C41+C45)/(1-C40-D41-D45-C48),0)</f>
        <v>#DIV/0!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t="e">
        <f ca="1">ROUND(C49*F50,0)</f>
        <v>#DIV/0!</v>
      </c>
      <c r="D51" s="276"/>
      <c r="E51" s="276"/>
      <c r="F51" s="308"/>
      <c r="G51" s="278" t="s">
        <v>2428</v>
      </c>
    </row>
    <row r="52" spans="1:7" s="252" customFormat="1" ht="16.5" thickBot="1">
      <c r="A52" s="309" t="s">
        <v>2429</v>
      </c>
      <c r="B52" s="310"/>
      <c r="C52" s="311" t="e">
        <f ca="1">C31+C51</f>
        <v>#DIV/0!</v>
      </c>
      <c r="D52" s="310"/>
      <c r="E52" s="310"/>
      <c r="F52" s="310"/>
      <c r="G52" s="312"/>
    </row>
    <row r="55" spans="1:7" ht="15">
      <c r="B55" s="314" t="s">
        <v>2430</v>
      </c>
      <c r="C55" s="315"/>
    </row>
    <row r="56" spans="1:7">
      <c r="B56" s="317" t="s">
        <v>1509</v>
      </c>
      <c r="C56" s="319" t="e">
        <f ca="1">1-C57</f>
        <v>#DIV/0!</v>
      </c>
    </row>
    <row r="57" spans="1:7">
      <c r="B57" s="317" t="s">
        <v>1510</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sqref="A1:XFD1048576"/>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北京市红领巾公园南侧建设项目出让国有建设用地使用权及在建建筑物房地产市场价值预评估</v>
      </c>
      <c r="C37" s="2950"/>
      <c r="D37" s="2950"/>
      <c r="E37" s="2950"/>
      <c r="F37" s="2950"/>
      <c r="G37" s="2950"/>
      <c r="H37" s="2950"/>
      <c r="I37" s="295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59" t="s">
        <v>2431</v>
      </c>
      <c r="D1" s="242"/>
      <c r="E1" s="242"/>
      <c r="F1" s="242"/>
      <c r="G1" s="1382">
        <f>MATCH(B1,'数据-取费表'!A6:A16,0)+5</f>
        <v>6</v>
      </c>
      <c r="H1" s="1285" t="str">
        <f>IF(ISERROR(FIND("住宅",B1)),"非住宅","住宅")</f>
        <v>非住宅</v>
      </c>
    </row>
    <row r="2" spans="1:8" s="244" customFormat="1" ht="18" customHeight="1">
      <c r="A2" s="245" t="s">
        <v>2330</v>
      </c>
      <c r="B2" s="246" t="e">
        <f ca="1">ROUND(IF(D2="——",C52/10000,C52/10000-E2),0)</f>
        <v>#DIV/0!</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t="e">
        <f ca="1">ROUND(B2*10000/(IF(B1="",'数据-汇总表'!E3,INDIRECT("'数据-取费表'!k"&amp;$G$1))),0)</f>
        <v>#DIV/0!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0</v>
      </c>
      <c r="G7" s="263"/>
    </row>
    <row r="8" spans="1:8" s="267" customFormat="1">
      <c r="A8" s="952" t="s">
        <v>2344</v>
      </c>
      <c r="B8" s="259" t="s">
        <v>2345</v>
      </c>
      <c r="C8" s="264">
        <f ca="1">IF(G8="已包含在土地购买价格中",0,C9+C10)</f>
        <v>0</v>
      </c>
      <c r="D8" s="266"/>
      <c r="E8" s="264"/>
      <c r="F8" s="265"/>
      <c r="G8" s="2556"/>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0</v>
      </c>
      <c r="D19" s="1039">
        <f ca="1">D9+D10</f>
        <v>0</v>
      </c>
      <c r="E19" s="255">
        <f>'数据-取费表'!B31</f>
        <v>200</v>
      </c>
      <c r="F19" s="275"/>
      <c r="G19" s="2556"/>
    </row>
    <row r="20" spans="1:7" s="258" customFormat="1" ht="13.5" customHeight="1">
      <c r="A20" s="299" t="s">
        <v>2442</v>
      </c>
      <c r="B20" s="254" t="s">
        <v>2443</v>
      </c>
      <c r="C20" s="276">
        <f ca="1">ROUND((C5+C19)*F20,0)</f>
        <v>0</v>
      </c>
      <c r="D20" s="276"/>
      <c r="E20" s="276"/>
      <c r="F20" s="277">
        <f>'数据-取费表'!B37</f>
        <v>0</v>
      </c>
      <c r="G20" s="278" t="s">
        <v>2444</v>
      </c>
    </row>
    <row r="21" spans="1:7" s="258" customFormat="1" ht="13.5" customHeight="1">
      <c r="A21" s="299" t="s">
        <v>2445</v>
      </c>
      <c r="B21" s="254" t="s">
        <v>2446</v>
      </c>
      <c r="C21" s="279">
        <f>F21</f>
        <v>0</v>
      </c>
      <c r="D21" s="280" t="s">
        <v>2447</v>
      </c>
      <c r="E21" s="276"/>
      <c r="F21" s="277">
        <f>'数据-取费表'!B38</f>
        <v>0</v>
      </c>
      <c r="G21" s="278" t="s">
        <v>2448</v>
      </c>
    </row>
    <row r="22" spans="1:7" s="258" customFormat="1" ht="13.5" customHeight="1">
      <c r="A22" s="299" t="s">
        <v>2449</v>
      </c>
      <c r="B22" s="254" t="s">
        <v>2450</v>
      </c>
      <c r="C22" s="1383">
        <f ca="1">ROUND(SUM(C23:C25),0)</f>
        <v>0</v>
      </c>
      <c r="D22" s="279">
        <f ca="1">C26</f>
        <v>0</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0</v>
      </c>
      <c r="D24" s="282"/>
      <c r="E24" s="282"/>
      <c r="F24" s="283"/>
      <c r="G24" s="284" t="s">
        <v>2454</v>
      </c>
    </row>
    <row r="25" spans="1:7" s="258" customFormat="1" ht="24">
      <c r="A25" s="954" t="s">
        <v>2344</v>
      </c>
      <c r="B25" s="259" t="s">
        <v>2455</v>
      </c>
      <c r="C25" s="1384">
        <f ca="1">ROUND(IF('数据-取费表'!B22&lt;=1,C20*F22*'数据-取费表'!B22/2,C20*(POWER((1+F22),'数据-取费表'!B22/2)-1)),0)</f>
        <v>0</v>
      </c>
      <c r="D25" s="282"/>
      <c r="E25" s="285"/>
      <c r="F25" s="283"/>
      <c r="G25" s="286" t="s">
        <v>2456</v>
      </c>
    </row>
    <row r="26" spans="1:7" s="258" customFormat="1">
      <c r="A26" s="954" t="s">
        <v>795</v>
      </c>
      <c r="B26" s="259" t="s">
        <v>2379</v>
      </c>
      <c r="C26" s="282">
        <f ca="1">ROUND(IF('数据-取费表'!B22&lt;=1,F21*F22*'数据-取费表'!B22/2,F21*(POWER((1+F22),'数据-取费表'!B22/2)-1)),4)</f>
        <v>0</v>
      </c>
      <c r="D26" s="282"/>
      <c r="E26" s="285"/>
      <c r="F26" s="283"/>
      <c r="G26" s="287"/>
    </row>
    <row r="27" spans="1:7" s="258" customFormat="1" ht="24.75">
      <c r="A27" s="299" t="s">
        <v>2380</v>
      </c>
      <c r="B27" s="288" t="s">
        <v>2381</v>
      </c>
      <c r="C27" s="289" t="e">
        <f ca="1">C28</f>
        <v>#DIV/0!</v>
      </c>
      <c r="D27" s="279" t="e">
        <f ca="1">C29</f>
        <v>#DIV/0!</v>
      </c>
      <c r="E27" s="280" t="s">
        <v>2382</v>
      </c>
      <c r="F27" s="290" t="e">
        <f ca="1">IF(B1="",'数据-取费表'!Q16,INDIRECT("'数据-取费表'!q"&amp;$G$1))</f>
        <v>#DIV/0!</v>
      </c>
      <c r="G27" s="291" t="s">
        <v>2383</v>
      </c>
    </row>
    <row r="28" spans="1:7" s="258" customFormat="1" ht="13.5" customHeight="1">
      <c r="A28" s="954" t="s">
        <v>791</v>
      </c>
      <c r="B28" s="292" t="s">
        <v>2384</v>
      </c>
      <c r="C28" s="293" t="e">
        <f ca="1">ROUND((C5+C19+C20)*F27,0)</f>
        <v>#DIV/0!</v>
      </c>
      <c r="D28" s="279"/>
      <c r="E28" s="280"/>
      <c r="F28" s="290"/>
      <c r="G28" s="291"/>
    </row>
    <row r="29" spans="1:7" s="258" customFormat="1" ht="13.5" customHeight="1">
      <c r="A29" s="954" t="s">
        <v>792</v>
      </c>
      <c r="B29" s="292" t="s">
        <v>2385</v>
      </c>
      <c r="C29" s="282" t="e">
        <f ca="1">ROUND(C21*F27,4)</f>
        <v>#DIV/0!</v>
      </c>
      <c r="D29" s="279"/>
      <c r="E29" s="280"/>
      <c r="F29" s="290"/>
      <c r="G29" s="291"/>
    </row>
    <row r="30" spans="1:7" s="258" customFormat="1" ht="13.5" customHeight="1">
      <c r="A30" s="299" t="s">
        <v>2386</v>
      </c>
      <c r="B30" s="254" t="s">
        <v>2387</v>
      </c>
      <c r="C30" s="279">
        <f>ROUND(F30/(1+'数据-取费表'!C42),4)</f>
        <v>0</v>
      </c>
      <c r="D30" s="280" t="s">
        <v>2382</v>
      </c>
      <c r="E30" s="285"/>
      <c r="F30" s="281">
        <f>'数据-取费表'!B41</f>
        <v>0</v>
      </c>
      <c r="G30" s="278" t="s">
        <v>2388</v>
      </c>
    </row>
    <row r="31" spans="1:7" ht="16.5" customHeight="1">
      <c r="A31" s="253">
        <v>1</v>
      </c>
      <c r="B31" s="254" t="s">
        <v>2389</v>
      </c>
      <c r="C31" s="255" t="e">
        <f ca="1">ROUND((C5+C19+C20+C22+C27)/(1-C21-D22-D27-C30),0)</f>
        <v>#DIV/0!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0</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4" t="s">
        <v>796</v>
      </c>
      <c r="B35" s="259" t="s">
        <v>2395</v>
      </c>
      <c r="C35" s="264">
        <f ca="1">ROUND(C34*F35,0)</f>
        <v>0</v>
      </c>
      <c r="D35" s="264"/>
      <c r="E35" s="264"/>
      <c r="F35" s="303">
        <f>'数据-取费表'!B33</f>
        <v>0</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0</v>
      </c>
      <c r="D37" s="261">
        <f ca="1">D19</f>
        <v>0</v>
      </c>
      <c r="E37" s="293">
        <f>'数据-取费表'!B35</f>
        <v>0</v>
      </c>
      <c r="F37" s="303"/>
      <c r="G37" s="305"/>
    </row>
    <row r="38" spans="1:7" ht="13.5" customHeight="1">
      <c r="A38" s="954" t="s">
        <v>799</v>
      </c>
      <c r="B38" s="259" t="s">
        <v>2401</v>
      </c>
      <c r="C38" s="264">
        <f ca="1">ROUND(C34*F38,0)</f>
        <v>0</v>
      </c>
      <c r="D38" s="264"/>
      <c r="E38" s="264"/>
      <c r="F38" s="303">
        <f>'数据-取费表'!B36</f>
        <v>0</v>
      </c>
      <c r="G38" s="263" t="s">
        <v>2396</v>
      </c>
    </row>
    <row r="39" spans="1:7" s="258" customFormat="1" ht="13.5" customHeight="1">
      <c r="A39" s="299" t="s">
        <v>2402</v>
      </c>
      <c r="B39" s="254" t="s">
        <v>2403</v>
      </c>
      <c r="C39" s="276">
        <f ca="1">ROUND(C33*F20,0)</f>
        <v>0</v>
      </c>
      <c r="D39" s="276"/>
      <c r="E39" s="276"/>
      <c r="F39" s="277"/>
      <c r="G39" s="278" t="s">
        <v>2404</v>
      </c>
    </row>
    <row r="40" spans="1:7" s="258" customFormat="1" ht="13.5" customHeight="1">
      <c r="A40" s="299" t="s">
        <v>2405</v>
      </c>
      <c r="B40" s="254" t="s">
        <v>2406</v>
      </c>
      <c r="C40" s="1731">
        <f>F21</f>
        <v>0</v>
      </c>
      <c r="D40" s="280" t="s">
        <v>2407</v>
      </c>
      <c r="E40" s="276"/>
      <c r="F40" s="277"/>
      <c r="G40" s="278" t="s">
        <v>2408</v>
      </c>
    </row>
    <row r="41" spans="1:7" s="258" customFormat="1" ht="13.5" customHeight="1">
      <c r="A41" s="299" t="s">
        <v>2409</v>
      </c>
      <c r="B41" s="254" t="s">
        <v>2410</v>
      </c>
      <c r="C41" s="276">
        <f ca="1">ROUND(SUM(C42:C43),0)</f>
        <v>0</v>
      </c>
      <c r="D41" s="279">
        <f ca="1">C44</f>
        <v>0</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0</v>
      </c>
      <c r="D42" s="282"/>
      <c r="E42" s="282"/>
      <c r="F42" s="283"/>
      <c r="G42" s="3136" t="s">
        <v>2459</v>
      </c>
    </row>
    <row r="43" spans="1:7" ht="13.5" customHeight="1">
      <c r="A43" s="954" t="s">
        <v>792</v>
      </c>
      <c r="B43" s="259" t="s">
        <v>2413</v>
      </c>
      <c r="C43" s="282">
        <f ca="1">ROUND(IF('数据-取费表'!B22&lt;=1,C39*F22*'数据-取费表'!B20/2,C39*(POWER((1+F22),'数据-取费表'!B20/2)-1)),0)</f>
        <v>0</v>
      </c>
      <c r="D43" s="282"/>
      <c r="E43" s="282"/>
      <c r="F43" s="283"/>
      <c r="G43" s="3137"/>
    </row>
    <row r="44" spans="1:7" ht="13.5" customHeight="1">
      <c r="A44" s="954" t="s">
        <v>793</v>
      </c>
      <c r="B44" s="259" t="s">
        <v>2414</v>
      </c>
      <c r="C44" s="282">
        <f ca="1">ROUND(IF('数据-取费表'!B22&lt;=1,C40*F22*'数据-取费表'!B20/2,C40*(POWER((1+F22),'数据-取费表'!B20/2)-1)),4)</f>
        <v>0</v>
      </c>
      <c r="D44" s="282"/>
      <c r="E44" s="282"/>
      <c r="F44" s="283"/>
      <c r="G44" s="3138"/>
    </row>
    <row r="45" spans="1:7" s="258" customFormat="1" ht="13.5" customHeight="1">
      <c r="A45" s="299" t="s">
        <v>2415</v>
      </c>
      <c r="B45" s="288" t="s">
        <v>2381</v>
      </c>
      <c r="C45" s="289" t="e">
        <f ca="1">C46</f>
        <v>#DIV/0!</v>
      </c>
      <c r="D45" s="279" t="e">
        <f ca="1">C47</f>
        <v>#DIV/0!</v>
      </c>
      <c r="E45" s="280" t="s">
        <v>2407</v>
      </c>
      <c r="F45" s="290"/>
      <c r="G45" s="291" t="s">
        <v>2416</v>
      </c>
    </row>
    <row r="46" spans="1:7" s="258" customFormat="1" ht="13.5" customHeight="1">
      <c r="A46" s="954" t="s">
        <v>791</v>
      </c>
      <c r="B46" s="292" t="s">
        <v>2417</v>
      </c>
      <c r="C46" s="293" t="e">
        <f ca="1">ROUND((C33+C39)*F27,0)</f>
        <v>#DIV/0!</v>
      </c>
      <c r="D46" s="307"/>
      <c r="E46" s="280"/>
      <c r="F46" s="290"/>
      <c r="G46" s="291"/>
    </row>
    <row r="47" spans="1:7" s="258" customFormat="1" ht="13.5" customHeight="1">
      <c r="A47" s="954" t="s">
        <v>792</v>
      </c>
      <c r="B47" s="292" t="s">
        <v>2418</v>
      </c>
      <c r="C47" s="282" t="e">
        <f ca="1">ROUND(C40*F27,4)</f>
        <v>#DIV/0!</v>
      </c>
      <c r="D47" s="307"/>
      <c r="E47" s="280"/>
      <c r="F47" s="290"/>
      <c r="G47" s="291"/>
    </row>
    <row r="48" spans="1:7" s="258" customFormat="1" ht="13.5" customHeight="1">
      <c r="A48" s="299" t="s">
        <v>2380</v>
      </c>
      <c r="B48" s="254" t="s">
        <v>2419</v>
      </c>
      <c r="C48" s="306">
        <f>ROUND(F30/(1+'数据-取费表'!C42),4)</f>
        <v>0</v>
      </c>
      <c r="D48" s="280" t="s">
        <v>2407</v>
      </c>
      <c r="E48" s="276"/>
      <c r="F48" s="281"/>
      <c r="G48" s="278" t="s">
        <v>2420</v>
      </c>
    </row>
    <row r="49" spans="1:7" ht="16.5" customHeight="1">
      <c r="A49" s="299" t="s">
        <v>2386</v>
      </c>
      <c r="B49" s="254" t="s">
        <v>2460</v>
      </c>
      <c r="C49" s="276" t="e">
        <f ca="1">ROUND((C33+C39+C41+C45)/(1-C40-D41-D45-C48),0)</f>
        <v>#DIV/0!</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t="e">
        <f ca="1">ROUND(C49*F50,0)</f>
        <v>#DIV/0!</v>
      </c>
      <c r="D51" s="276"/>
      <c r="E51" s="276"/>
      <c r="F51" s="308"/>
      <c r="G51" s="278" t="s">
        <v>2428</v>
      </c>
    </row>
    <row r="52" spans="1:7" s="252" customFormat="1" ht="16.5" thickBot="1">
      <c r="A52" s="309" t="s">
        <v>2429</v>
      </c>
      <c r="B52" s="310"/>
      <c r="C52" s="311" t="e">
        <f ca="1">C31+C51</f>
        <v>#DIV/0!</v>
      </c>
      <c r="D52" s="310"/>
      <c r="E52" s="310"/>
      <c r="F52" s="310"/>
      <c r="G52" s="312"/>
    </row>
    <row r="55" spans="1:7" ht="15">
      <c r="B55" s="314" t="s">
        <v>2430</v>
      </c>
      <c r="C55" s="315"/>
    </row>
    <row r="56" spans="1:7">
      <c r="B56" s="317" t="s">
        <v>1509</v>
      </c>
      <c r="C56" s="319" t="e">
        <f ca="1">1-C57</f>
        <v>#DIV/0!</v>
      </c>
    </row>
    <row r="57" spans="1:7">
      <c r="B57" s="317" t="s">
        <v>1510</v>
      </c>
      <c r="C57" s="318" t="e">
        <f ca="1">ROUND(C51/C52,3)</f>
        <v>#DIV/0!</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6</v>
      </c>
    </row>
    <row r="2" spans="1:33" ht="18" customHeight="1">
      <c r="A2" s="245" t="s">
        <v>2330</v>
      </c>
      <c r="B2" s="248" t="e">
        <f ca="1">C32</f>
        <v>#DIV/0!</v>
      </c>
      <c r="C2" s="320" t="s">
        <v>2463</v>
      </c>
      <c r="D2" s="320"/>
      <c r="E2" s="320"/>
      <c r="F2" s="320"/>
      <c r="G2" s="320"/>
      <c r="H2" s="320"/>
      <c r="I2" s="320"/>
      <c r="J2" s="320"/>
      <c r="K2" s="320"/>
    </row>
    <row r="3" spans="1:33" ht="18" customHeight="1" thickBot="1">
      <c r="A3" s="247" t="s">
        <v>2332</v>
      </c>
      <c r="B3" s="248" t="e">
        <f ca="1">ROUND(B2*10000/IF(C1="",'数据-汇总表'!E3,INDIRECT("'数据-取费表'!K"&amp;$K$1)),0)</f>
        <v>#DIV/0!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0" t="s">
        <v>2468</v>
      </c>
      <c r="D5" s="2560" t="s">
        <v>2469</v>
      </c>
      <c r="E5" s="2560" t="s">
        <v>2470</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1330</v>
      </c>
      <c r="B11" s="975" t="s">
        <v>2483</v>
      </c>
      <c r="C11" s="323">
        <f ca="1">IF(C1="",'数据-取费表'!P16,INDIRECT("'数据-取费表'!p"&amp;$K$1)+INDIRECT("'数据-取费表'!ar"&amp;$K$1))</f>
        <v>0</v>
      </c>
      <c r="D11" s="976"/>
      <c r="E11" s="375"/>
      <c r="F11" s="977" t="e">
        <f ca="1">1-IF('数据-取费表'!B24=0,1,IF(C1="",'数据-取费表'!N16,INDIRECT("'数据-取费表'!n"&amp;$K$1)))</f>
        <v>#DIV/0!</v>
      </c>
      <c r="G11" s="8"/>
      <c r="H11" s="971"/>
      <c r="I11" s="971"/>
      <c r="J11" s="971"/>
      <c r="K11" s="972"/>
    </row>
    <row r="12" spans="1:33" s="978" customFormat="1" ht="13.5" customHeight="1">
      <c r="A12" s="974" t="s">
        <v>1331</v>
      </c>
      <c r="B12" s="975" t="s">
        <v>2484</v>
      </c>
      <c r="C12" s="24">
        <f ca="1">ROUND(C11*F12,0)</f>
        <v>0</v>
      </c>
      <c r="D12" s="976"/>
      <c r="E12" s="375"/>
      <c r="F12" s="979">
        <f>'数据-取费表'!B33</f>
        <v>0</v>
      </c>
      <c r="G12" s="8" t="s">
        <v>2485</v>
      </c>
      <c r="H12" s="971"/>
      <c r="I12" s="971"/>
      <c r="J12" s="971"/>
      <c r="K12" s="972"/>
    </row>
    <row r="13" spans="1:33" s="978" customFormat="1" ht="13.5" customHeight="1">
      <c r="A13" s="974" t="s">
        <v>1332</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1333</v>
      </c>
      <c r="B14" s="975" t="s">
        <v>2488</v>
      </c>
      <c r="C14" s="24" t="e">
        <f ca="1">ROUND(D14*E14*F11/10000,0)</f>
        <v>#DIV/0!</v>
      </c>
      <c r="D14" s="1036">
        <f ca="1">IF(C1="",'数据-汇总表'!E3,INDIRECT("'数据-取费表'!K"&amp;$K$1)+INDIRECT("'数据-取费表'!S"&amp;$K$1))</f>
        <v>0</v>
      </c>
      <c r="E14" s="24">
        <f>'数据-取费表'!B35</f>
        <v>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2490</v>
      </c>
      <c r="C15" s="986">
        <f ca="1">ROUND(C11*F15,0)</f>
        <v>0</v>
      </c>
      <c r="D15" s="981"/>
      <c r="E15" s="986"/>
      <c r="F15" s="987">
        <f>'数据-取费表'!B36</f>
        <v>0</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t="e">
        <f ca="1">SUM(C11:C15)</f>
        <v>#DIV/0!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0</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2495</v>
      </c>
      <c r="C18" s="24">
        <f ca="1">C19+C20-IF(C1="",'数据-取费表'!B29,IF(G18="已全部缴纳",C19+C20,H18))</f>
        <v>0</v>
      </c>
      <c r="D18" s="1036"/>
      <c r="E18" s="24"/>
      <c r="F18" s="979"/>
      <c r="G18" s="2562"/>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2498</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2499</v>
      </c>
      <c r="C21" s="989" t="e">
        <f ca="1">C16+C17+C18</f>
        <v>#DIV/0!</v>
      </c>
      <c r="D21" s="990"/>
      <c r="E21" s="325"/>
      <c r="F21" s="325"/>
      <c r="G21" s="140" t="s">
        <v>2500</v>
      </c>
      <c r="H21" s="982"/>
      <c r="I21" s="982"/>
      <c r="J21" s="982"/>
      <c r="K21" s="983"/>
    </row>
    <row r="22" spans="1:33" s="978" customFormat="1" ht="13.5" customHeight="1">
      <c r="A22" s="964" t="s">
        <v>2472</v>
      </c>
      <c r="B22" s="988" t="s">
        <v>2501</v>
      </c>
      <c r="C22" s="989" t="e">
        <f ca="1">ROUND(C21*F22,0)</f>
        <v>#DIV/0!</v>
      </c>
      <c r="D22" s="325"/>
      <c r="E22" s="325"/>
      <c r="F22" s="991">
        <f>'数据-取费表'!B37</f>
        <v>0</v>
      </c>
      <c r="G22" s="8" t="s">
        <v>2502</v>
      </c>
      <c r="H22" s="971"/>
      <c r="I22" s="971"/>
      <c r="J22" s="971"/>
      <c r="K22" s="972"/>
    </row>
    <row r="23" spans="1:33" s="978" customFormat="1" ht="13.5" customHeight="1">
      <c r="A23" s="964" t="s">
        <v>2474</v>
      </c>
      <c r="B23" s="988" t="s">
        <v>2503</v>
      </c>
      <c r="C23" s="989" t="e">
        <f ca="1">ROUND(C4*F23*F11,0)</f>
        <v>#DIV/0!</v>
      </c>
      <c r="D23" s="325"/>
      <c r="E23" s="325"/>
      <c r="F23" s="991">
        <f>'数据-取费表'!B38</f>
        <v>0</v>
      </c>
      <c r="G23" s="8" t="s">
        <v>2504</v>
      </c>
      <c r="H23" s="971"/>
      <c r="I23" s="971"/>
      <c r="J23" s="971"/>
      <c r="K23" s="972"/>
    </row>
    <row r="24" spans="1:33" s="978" customFormat="1" ht="13.5" customHeight="1">
      <c r="A24" s="964" t="s">
        <v>2505</v>
      </c>
      <c r="B24" s="988" t="s">
        <v>2506</v>
      </c>
      <c r="C24" s="324">
        <f>ROUND(F24/(1+'数据-取费表'!C42),4)</f>
        <v>0</v>
      </c>
      <c r="D24" s="325" t="s">
        <v>15</v>
      </c>
      <c r="E24" s="325"/>
      <c r="F24" s="991">
        <f>'数据-取费表'!B48+'数据-取费表'!B49</f>
        <v>0</v>
      </c>
      <c r="G24" s="8" t="s">
        <v>2507</v>
      </c>
      <c r="H24" s="993"/>
      <c r="I24" s="993"/>
      <c r="J24" s="993"/>
      <c r="K24" s="994"/>
    </row>
    <row r="25" spans="1:33" s="978" customFormat="1" ht="13.5" customHeight="1">
      <c r="A25" s="964" t="s">
        <v>2508</v>
      </c>
      <c r="B25" s="990" t="s">
        <v>2509</v>
      </c>
      <c r="C25" s="1359" t="e">
        <f ca="1">C27</f>
        <v>#DIV/0!</v>
      </c>
      <c r="D25" s="324">
        <f ca="1">C26</f>
        <v>9.7299999999999998E-2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9.7299999999999998E-2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t="e">
        <f ca="1">ROUND(IF('数据-取费表'!B22&lt;=1,(C21+C22+C23)*F25*'数据-取费表'!B24/2,(C21+C22+C23)*(POWER((1+F25),'数据-取费表'!B24/2)-1)),0)</f>
        <v>#DIV/0!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t="e">
        <f ca="1">C30</f>
        <v>#DIV/0!</v>
      </c>
      <c r="D28" s="324" t="e">
        <f ca="1">C29</f>
        <v>#DIV/0!</v>
      </c>
      <c r="E28" s="326" t="s">
        <v>15</v>
      </c>
      <c r="F28" s="332" t="e">
        <f ca="1">IF(C1="",'数据-取费表'!Q16,INDIRECT("'数据-取费表'!q"&amp;$K$1))</f>
        <v>#DIV/0!</v>
      </c>
      <c r="G28" s="992"/>
      <c r="H28" s="993"/>
      <c r="I28" s="993"/>
      <c r="J28" s="993"/>
      <c r="K28" s="994"/>
    </row>
    <row r="29" spans="1:33" s="335" customFormat="1" ht="13.5" customHeight="1">
      <c r="A29" s="974" t="s">
        <v>803</v>
      </c>
      <c r="B29" s="997" t="s">
        <v>2514</v>
      </c>
      <c r="C29" s="328" t="e">
        <f ca="1">ROUND((1+C24)*F28*'数据-取费表'!B24/'数据-取费表'!B20,4)</f>
        <v>#DIV/0!</v>
      </c>
      <c r="D29" s="328"/>
      <c r="E29" s="329"/>
      <c r="F29" s="334"/>
      <c r="G29" s="140" t="s">
        <v>2515</v>
      </c>
      <c r="H29" s="982"/>
      <c r="I29" s="982"/>
      <c r="J29" s="982"/>
      <c r="K29" s="983"/>
    </row>
    <row r="30" spans="1:33" s="335" customFormat="1" ht="13.5" customHeight="1">
      <c r="A30" s="974" t="s">
        <v>804</v>
      </c>
      <c r="B30" s="997" t="s">
        <v>2516</v>
      </c>
      <c r="C30" s="336" t="e">
        <f ca="1">ROUND((C21+C22+C23)*F28,0)</f>
        <v>#DIV/0!</v>
      </c>
      <c r="D30" s="328"/>
      <c r="E30" s="329"/>
      <c r="F30" s="334"/>
      <c r="G30" s="140"/>
      <c r="H30" s="982"/>
      <c r="I30" s="982"/>
      <c r="J30" s="982"/>
      <c r="K30" s="983"/>
    </row>
    <row r="31" spans="1:33" s="978" customFormat="1" ht="13.5" customHeight="1" thickBot="1">
      <c r="A31" s="2566" t="s">
        <v>2517</v>
      </c>
      <c r="B31" s="1008" t="s">
        <v>2518</v>
      </c>
      <c r="C31" s="1009">
        <f>ROUND(C4*F31/(1+'数据-取费表'!C42),0)</f>
        <v>0</v>
      </c>
      <c r="D31" s="1010"/>
      <c r="E31" s="1011"/>
      <c r="F31" s="1012">
        <f>'数据-取费表'!B41</f>
        <v>0</v>
      </c>
      <c r="G31" s="1013" t="s">
        <v>2519</v>
      </c>
      <c r="H31" s="1014"/>
      <c r="I31" s="1014"/>
      <c r="J31" s="1014"/>
      <c r="K31" s="1015"/>
    </row>
    <row r="32" spans="1:33" s="973" customFormat="1" ht="13.5" customHeight="1" thickBot="1">
      <c r="A32" s="1003" t="s">
        <v>2520</v>
      </c>
      <c r="B32" s="1004"/>
      <c r="C32" s="1005" t="e">
        <f ca="1">ROUND((C4-C21-C22-C23-C25-C28-C31)/(1+C24+D25+D28),0)</f>
        <v>#DIV/0!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41" t="s">
        <v>1399</v>
      </c>
      <c r="C6" s="1299">
        <f ca="1">ROUND(F6*F8*F7*(1-F9)/10000,0)</f>
        <v>0</v>
      </c>
      <c r="D6" s="164" t="s">
        <v>3035</v>
      </c>
      <c r="E6" s="347" t="s">
        <v>1401</v>
      </c>
      <c r="F6" s="348">
        <f ca="1">INDIRECT("'数据-取费表'!u"&amp;$G$1)</f>
        <v>0</v>
      </c>
      <c r="G6" s="1854"/>
      <c r="H6" s="1294" t="s">
        <v>1032</v>
      </c>
      <c r="I6" s="3141" t="s">
        <v>1399</v>
      </c>
      <c r="J6" s="346">
        <f ca="1">ROUND(M6*M8*M7*(1-M9)/10000,0)</f>
        <v>0</v>
      </c>
      <c r="K6" s="164" t="s">
        <v>3034</v>
      </c>
      <c r="L6" s="347" t="s">
        <v>1401</v>
      </c>
      <c r="M6" s="348">
        <f ca="1">INDIRECT("'数据-取费表'!z"&amp;$G$1)</f>
        <v>0</v>
      </c>
    </row>
    <row r="7" spans="1:37" ht="18" customHeight="1">
      <c r="A7" s="1298"/>
      <c r="B7" s="3142"/>
      <c r="C7" s="1300"/>
      <c r="D7" s="352"/>
      <c r="E7" s="1301" t="s">
        <v>1402</v>
      </c>
      <c r="F7" s="348">
        <f ca="1">IF(INDIRECT("'数据-取费表'!ah"&amp;$G$1)="",INDIRECT("'数据-取费表'!k"&amp;$G$1),INDIRECT("'数据-取费表'!ah"&amp;$G$1))</f>
        <v>0</v>
      </c>
      <c r="G7" s="1854"/>
      <c r="H7" s="349"/>
      <c r="I7" s="3142"/>
      <c r="J7" s="351"/>
      <c r="K7" s="352"/>
      <c r="L7" s="347" t="s">
        <v>1402</v>
      </c>
      <c r="M7" s="348">
        <f ca="1">F7</f>
        <v>0</v>
      </c>
    </row>
    <row r="8" spans="1:37" ht="18" customHeight="1">
      <c r="A8" s="349"/>
      <c r="B8" s="3142"/>
      <c r="C8" s="351"/>
      <c r="D8" s="352"/>
      <c r="E8" s="347" t="s">
        <v>1403</v>
      </c>
      <c r="F8" s="348">
        <f ca="1">INDIRECT("'数据-取费表'!ai"&amp;$G$1)</f>
        <v>0</v>
      </c>
      <c r="G8" s="1854"/>
      <c r="H8" s="349"/>
      <c r="I8" s="3142"/>
      <c r="J8" s="351"/>
      <c r="K8" s="352"/>
      <c r="L8" s="347" t="s">
        <v>1403</v>
      </c>
      <c r="M8" s="348">
        <f ca="1">INDIRECT("'数据-取费表'!ai"&amp;$G$1)</f>
        <v>0</v>
      </c>
    </row>
    <row r="9" spans="1:37" ht="18" customHeight="1">
      <c r="A9" s="349"/>
      <c r="B9" s="3143"/>
      <c r="C9" s="351"/>
      <c r="D9" s="352"/>
      <c r="E9" s="347" t="s">
        <v>1404</v>
      </c>
      <c r="F9" s="357">
        <f ca="1">INDIRECT("'数据-取费表'!w"&amp;$G$1)</f>
        <v>0</v>
      </c>
      <c r="G9" s="1854"/>
      <c r="H9" s="349"/>
      <c r="I9" s="314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3044</v>
      </c>
      <c r="E10" s="358" t="s">
        <v>1406</v>
      </c>
      <c r="F10" s="1369"/>
      <c r="G10" s="1854"/>
      <c r="H10" s="1294" t="s">
        <v>1036</v>
      </c>
      <c r="I10" s="1826" t="s">
        <v>1405</v>
      </c>
      <c r="J10" s="346">
        <f ca="1">ROUND(IF(M10="押一",J6/12*M11,IF(M10="押二",J6/12*2*M11,IF(M10="押三",J6/12*3*M11,J11*M11))),0)</f>
        <v>0</v>
      </c>
      <c r="K10" s="1827" t="s">
        <v>3043</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0</v>
      </c>
      <c r="G17" s="1857"/>
      <c r="H17" s="1204" t="s">
        <v>1032</v>
      </c>
      <c r="I17" s="347" t="s">
        <v>1425</v>
      </c>
      <c r="J17" s="24">
        <f ca="1">ROUND(IF(项目基本情况!B11="自然人",J5*M17,J18+J19+J20),1)</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0</v>
      </c>
      <c r="G18" s="1857"/>
      <c r="H18" s="1204" t="s">
        <v>1031</v>
      </c>
      <c r="I18" s="347" t="s">
        <v>1429</v>
      </c>
      <c r="J18" s="24">
        <f ca="1">ROUND(J5*M18/(1+'数据-取费表'!C42),2)</f>
        <v>0</v>
      </c>
      <c r="K18" s="1801" t="s">
        <v>1430</v>
      </c>
      <c r="L18" s="347" t="s">
        <v>1418</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0</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0</v>
      </c>
      <c r="D28" s="369" t="s">
        <v>1472</v>
      </c>
      <c r="E28" s="347" t="s">
        <v>1418</v>
      </c>
      <c r="F28" s="367">
        <f>'数据-取费表'!B41</f>
        <v>0</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0</v>
      </c>
      <c r="D32" s="1801" t="s">
        <v>1430</v>
      </c>
      <c r="E32" s="347" t="s">
        <v>1418</v>
      </c>
      <c r="F32" s="377">
        <f>'数据-取费表'!B41</f>
        <v>0</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50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3036</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39" t="s">
        <v>1544</v>
      </c>
      <c r="L53" s="3140"/>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50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0</v>
      </c>
      <c r="I60" s="1928" t="s">
        <v>1561</v>
      </c>
      <c r="J60" s="1929" t="str">
        <f ca="1">IF(OR(M47="住宅",J51&lt;L48,J56="是"),"0",ROUND(J59/(1+J52)^J53,0))</f>
        <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41" t="s">
        <v>1399</v>
      </c>
      <c r="C6" s="1299">
        <f ca="1">ROUND(F6*F8*F7*(1-F9),0)</f>
        <v>0</v>
      </c>
      <c r="D6" s="164" t="s">
        <v>3032</v>
      </c>
      <c r="E6" s="347" t="s">
        <v>1401</v>
      </c>
      <c r="F6" s="348">
        <f ca="1">INDIRECT("'数据-取费表'!u"&amp;$G$1)</f>
        <v>0</v>
      </c>
      <c r="G6" s="1854"/>
      <c r="H6" s="1294" t="s">
        <v>1032</v>
      </c>
      <c r="I6" s="3141" t="s">
        <v>1399</v>
      </c>
      <c r="J6" s="346">
        <f ca="1">ROUND(M6*M8*M7*(1-M9),0)</f>
        <v>0</v>
      </c>
      <c r="K6" s="1837" t="s">
        <v>3033</v>
      </c>
      <c r="L6" s="347" t="s">
        <v>1401</v>
      </c>
      <c r="M6" s="348">
        <f ca="1">INDIRECT("'数据-取费表'!z"&amp;$G$1)</f>
        <v>0</v>
      </c>
    </row>
    <row r="7" spans="1:37" ht="18" customHeight="1">
      <c r="A7" s="1298"/>
      <c r="B7" s="3142"/>
      <c r="C7" s="1300"/>
      <c r="D7" s="352"/>
      <c r="E7" s="1301" t="s">
        <v>1402</v>
      </c>
      <c r="F7" s="348">
        <f ca="1">IF(INDIRECT("'数据-取费表'!ah"&amp;$G$1)="",INDIRECT("'数据-取费表'!k"&amp;$G$1),INDIRECT("'数据-取费表'!ah"&amp;$G$1))</f>
        <v>0</v>
      </c>
      <c r="G7" s="1854"/>
      <c r="H7" s="349"/>
      <c r="I7" s="3142"/>
      <c r="J7" s="351"/>
      <c r="K7" s="352"/>
      <c r="L7" s="347" t="s">
        <v>1402</v>
      </c>
      <c r="M7" s="348">
        <f ca="1">F7</f>
        <v>0</v>
      </c>
    </row>
    <row r="8" spans="1:37" ht="18" customHeight="1">
      <c r="A8" s="349"/>
      <c r="B8" s="3142"/>
      <c r="C8" s="351"/>
      <c r="D8" s="352"/>
      <c r="E8" s="347" t="s">
        <v>1403</v>
      </c>
      <c r="F8" s="348">
        <f ca="1">INDIRECT("'数据-取费表'!ai"&amp;$G$1)</f>
        <v>0</v>
      </c>
      <c r="G8" s="1854"/>
      <c r="H8" s="349"/>
      <c r="I8" s="3142"/>
      <c r="J8" s="351"/>
      <c r="K8" s="352"/>
      <c r="L8" s="347" t="s">
        <v>1403</v>
      </c>
      <c r="M8" s="348">
        <f ca="1">INDIRECT("'数据-取费表'!ai"&amp;$G$1)</f>
        <v>0</v>
      </c>
    </row>
    <row r="9" spans="1:37" ht="18" customHeight="1">
      <c r="A9" s="349"/>
      <c r="B9" s="3143"/>
      <c r="C9" s="351"/>
      <c r="D9" s="352"/>
      <c r="E9" s="347" t="s">
        <v>1404</v>
      </c>
      <c r="F9" s="357">
        <f ca="1">INDIRECT("'数据-取费表'!w"&amp;$G$1)</f>
        <v>0</v>
      </c>
      <c r="G9" s="1854"/>
      <c r="H9" s="349"/>
      <c r="I9" s="314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3043</v>
      </c>
      <c r="E10" s="358" t="s">
        <v>1406</v>
      </c>
      <c r="F10" s="1369"/>
      <c r="G10" s="1854"/>
      <c r="H10" s="1294" t="s">
        <v>1036</v>
      </c>
      <c r="I10" s="1826" t="s">
        <v>1405</v>
      </c>
      <c r="J10" s="346">
        <f ca="1">ROUND(IF(M10="押一",J6/12*M11,IF(M10="押二",J6/12*2*M11,IF(M10="押三",J6/12*3*M11,J11*M11))),0)</f>
        <v>0</v>
      </c>
      <c r="K10" s="1838" t="s">
        <v>3045</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0</v>
      </c>
      <c r="G18" s="1857"/>
      <c r="H18" s="1204" t="s">
        <v>1031</v>
      </c>
      <c r="I18" s="347" t="s">
        <v>1429</v>
      </c>
      <c r="J18" s="24">
        <f ca="1">ROUND(J5*M18/(1+'数据-取费表'!C42),0)</f>
        <v>0</v>
      </c>
      <c r="K18" s="1801" t="s">
        <v>1430</v>
      </c>
      <c r="L18" s="347" t="s">
        <v>1418</v>
      </c>
      <c r="M18" s="367">
        <f>'数据-取费表'!B41</f>
        <v>0</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0</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0</v>
      </c>
      <c r="D28" s="369" t="s">
        <v>1472</v>
      </c>
      <c r="E28" s="347" t="s">
        <v>1418</v>
      </c>
      <c r="F28" s="367">
        <f>'数据-取费表'!B41</f>
        <v>0</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0</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50</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3046</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39" t="s">
        <v>1544</v>
      </c>
      <c r="L53" s="3140"/>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50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0</v>
      </c>
      <c r="I60" s="1928" t="s">
        <v>1561</v>
      </c>
      <c r="J60" s="1929" t="str">
        <f ca="1">IF(OR(M47="住宅",J51&lt;L48,J56="是"),"0",ROUND(J59/(1+J52)^J53,0))</f>
        <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2330</v>
      </c>
      <c r="B2" s="2571">
        <f ca="1">SUMIF(B6:B13,"&lt;&gt;#ref!",B6:B13)</f>
        <v>0</v>
      </c>
      <c r="C2" s="2572" t="s">
        <v>2522</v>
      </c>
      <c r="D2" s="2573" t="s">
        <v>2523</v>
      </c>
      <c r="E2" s="2574">
        <f>SUM(E6:E13)</f>
        <v>0</v>
      </c>
    </row>
    <row r="3" spans="1:6" ht="15.75">
      <c r="A3" s="2570" t="s">
        <v>1391</v>
      </c>
      <c r="B3" s="2571" t="e">
        <f ca="1">ROUND(B2*10000/E2,0)</f>
        <v>#DIV/0!</v>
      </c>
      <c r="C3" s="2572" t="s">
        <v>2530</v>
      </c>
      <c r="D3" s="2575"/>
      <c r="E3" s="2576"/>
    </row>
    <row r="4" spans="1:6" ht="15.75">
      <c r="A4" s="2577"/>
      <c r="B4" s="2575"/>
      <c r="C4" s="2575"/>
      <c r="D4" s="2575"/>
      <c r="E4" s="2576"/>
    </row>
    <row r="5" spans="1:6" ht="15">
      <c r="A5" s="2578" t="s">
        <v>2524</v>
      </c>
      <c r="B5" s="3144" t="s">
        <v>2525</v>
      </c>
      <c r="C5" s="3144"/>
      <c r="D5" s="2579"/>
      <c r="E5" s="2580" t="s">
        <v>2526</v>
      </c>
      <c r="F5" s="2581" t="s">
        <v>2527</v>
      </c>
    </row>
    <row r="6" spans="1:6">
      <c r="A6" s="2582">
        <f>'数据-取费表'!AN6</f>
        <v>0</v>
      </c>
      <c r="B6" s="2581" t="e">
        <f ca="1">IF(F6="是",'数据-取费表'!AO6,0)</f>
        <v>#REF!</v>
      </c>
      <c r="C6" s="2572" t="s">
        <v>2522</v>
      </c>
      <c r="D6" s="2575"/>
      <c r="E6" s="2583">
        <f>IF(OR(A6=0,F6="否"),0,'数据-取费表'!K6+'数据-取费表'!S6)</f>
        <v>0</v>
      </c>
      <c r="F6" s="2584" t="s">
        <v>2528</v>
      </c>
    </row>
    <row r="7" spans="1:6">
      <c r="A7" s="2582">
        <f>'数据-取费表'!AN7</f>
        <v>0</v>
      </c>
      <c r="B7" s="2581" t="e">
        <f ca="1">IF(F7="是",'数据-取费表'!AO7,0)</f>
        <v>#REF!</v>
      </c>
      <c r="C7" s="2572" t="s">
        <v>2522</v>
      </c>
      <c r="D7" s="2575"/>
      <c r="E7" s="2583">
        <f>IF(OR(A7=0,F7="否"),0,'数据-取费表'!K7+'数据-取费表'!S7)</f>
        <v>0</v>
      </c>
      <c r="F7" s="2584" t="s">
        <v>2528</v>
      </c>
    </row>
    <row r="8" spans="1:6">
      <c r="A8" s="2582">
        <f>'数据-取费表'!AN8</f>
        <v>0</v>
      </c>
      <c r="B8" s="2581" t="e">
        <f ca="1">IF(F8="是",'数据-取费表'!AO8,0)</f>
        <v>#REF!</v>
      </c>
      <c r="C8" s="2572" t="s">
        <v>2522</v>
      </c>
      <c r="D8" s="2575"/>
      <c r="E8" s="2583">
        <f>IF(OR(A8=0,F8="否"),0,'数据-取费表'!K8+'数据-取费表'!S8)</f>
        <v>0</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61" t="s">
        <v>1073</v>
      </c>
      <c r="B1" s="3162"/>
      <c r="C1" s="3163"/>
      <c r="D1" s="3164">
        <f>SUM(I10,I15,I20,I21,I23)</f>
        <v>0</v>
      </c>
      <c r="E1" s="3164"/>
      <c r="F1" s="3164"/>
      <c r="G1" s="3164"/>
      <c r="H1" s="3164"/>
      <c r="I1" s="3165"/>
    </row>
    <row r="2" spans="1:9">
      <c r="A2" s="3151" t="s">
        <v>1074</v>
      </c>
      <c r="B2" s="3152" t="s">
        <v>1075</v>
      </c>
      <c r="C2" s="3152"/>
      <c r="D2" s="1304" t="s">
        <v>1076</v>
      </c>
      <c r="E2" s="1304" t="s">
        <v>1077</v>
      </c>
      <c r="F2" s="1304" t="s">
        <v>1078</v>
      </c>
      <c r="G2" s="1304" t="s">
        <v>1079</v>
      </c>
      <c r="H2" s="1304" t="s">
        <v>1080</v>
      </c>
      <c r="I2" s="1305" t="s">
        <v>1081</v>
      </c>
    </row>
    <row r="3" spans="1:9">
      <c r="A3" s="3151"/>
      <c r="B3" s="3152" t="s">
        <v>1082</v>
      </c>
      <c r="C3" s="3152"/>
      <c r="D3" s="1306"/>
      <c r="E3" s="1304"/>
      <c r="F3" s="1307"/>
      <c r="G3" s="1307"/>
      <c r="H3" s="1308"/>
      <c r="I3" s="1309">
        <f>ROUND(D3*E3*F3*G3*H3/10000,0)</f>
        <v>0</v>
      </c>
    </row>
    <row r="4" spans="1:9">
      <c r="A4" s="3151"/>
      <c r="B4" s="3152" t="s">
        <v>1083</v>
      </c>
      <c r="C4" s="3152"/>
      <c r="D4" s="1306"/>
      <c r="E4" s="1304"/>
      <c r="F4" s="1307"/>
      <c r="G4" s="1307"/>
      <c r="H4" s="1308"/>
      <c r="I4" s="1309">
        <f t="shared" ref="I4:I9" si="0">ROUND(D4*E4*F4*G4*H4/10000,0)</f>
        <v>0</v>
      </c>
    </row>
    <row r="5" spans="1:9">
      <c r="A5" s="3151"/>
      <c r="B5" s="3152" t="s">
        <v>1084</v>
      </c>
      <c r="C5" s="3152"/>
      <c r="D5" s="1306"/>
      <c r="E5" s="1304"/>
      <c r="F5" s="1307"/>
      <c r="G5" s="1307"/>
      <c r="H5" s="1308"/>
      <c r="I5" s="1309">
        <f t="shared" si="0"/>
        <v>0</v>
      </c>
    </row>
    <row r="6" spans="1:9">
      <c r="A6" s="3151"/>
      <c r="B6" s="3152" t="s">
        <v>1085</v>
      </c>
      <c r="C6" s="3152"/>
      <c r="D6" s="1306"/>
      <c r="E6" s="1304"/>
      <c r="F6" s="1307"/>
      <c r="G6" s="1307"/>
      <c r="H6" s="1308"/>
      <c r="I6" s="1309">
        <f t="shared" si="0"/>
        <v>0</v>
      </c>
    </row>
    <row r="7" spans="1:9">
      <c r="A7" s="3151"/>
      <c r="B7" s="3152" t="s">
        <v>1086</v>
      </c>
      <c r="C7" s="3152"/>
      <c r="D7" s="1306"/>
      <c r="E7" s="1304"/>
      <c r="F7" s="1307"/>
      <c r="G7" s="1307"/>
      <c r="H7" s="1308"/>
      <c r="I7" s="1309">
        <f t="shared" si="0"/>
        <v>0</v>
      </c>
    </row>
    <row r="8" spans="1:9">
      <c r="A8" s="3151"/>
      <c r="B8" s="3152" t="s">
        <v>1087</v>
      </c>
      <c r="C8" s="3152"/>
      <c r="D8" s="1306"/>
      <c r="E8" s="1304"/>
      <c r="F8" s="1307"/>
      <c r="G8" s="1307"/>
      <c r="H8" s="1308"/>
      <c r="I8" s="1309">
        <f t="shared" si="0"/>
        <v>0</v>
      </c>
    </row>
    <row r="9" spans="1:9">
      <c r="A9" s="3151"/>
      <c r="B9" s="3152" t="s">
        <v>1088</v>
      </c>
      <c r="C9" s="3152"/>
      <c r="D9" s="1306"/>
      <c r="E9" s="1304"/>
      <c r="F9" s="1307"/>
      <c r="G9" s="1307"/>
      <c r="H9" s="1308"/>
      <c r="I9" s="1309">
        <f t="shared" si="0"/>
        <v>0</v>
      </c>
    </row>
    <row r="10" spans="1:9">
      <c r="A10" s="3151"/>
      <c r="B10" s="3153" t="s">
        <v>1089</v>
      </c>
      <c r="C10" s="3153"/>
      <c r="D10" s="1310"/>
      <c r="E10" s="1310" t="e">
        <f>ROUND(D1*10000/D10/H9,0)</f>
        <v>#DIV/0!</v>
      </c>
      <c r="F10" s="1311"/>
      <c r="G10" s="1311"/>
      <c r="H10" s="1312"/>
      <c r="I10" s="1313">
        <f>SUM(I3:I9)</f>
        <v>0</v>
      </c>
    </row>
    <row r="11" spans="1:9" ht="14.25">
      <c r="A11" s="3151" t="s">
        <v>1090</v>
      </c>
      <c r="B11" s="3152" t="s">
        <v>1091</v>
      </c>
      <c r="C11" s="3152"/>
      <c r="D11" s="1306" t="s">
        <v>1092</v>
      </c>
      <c r="E11" s="1306" t="s">
        <v>1093</v>
      </c>
      <c r="F11" s="1307" t="s">
        <v>1094</v>
      </c>
      <c r="G11" s="1307" t="s">
        <v>1080</v>
      </c>
      <c r="H11" s="1314" t="s">
        <v>1095</v>
      </c>
      <c r="I11" s="1305" t="s">
        <v>1081</v>
      </c>
    </row>
    <row r="12" spans="1:9">
      <c r="A12" s="3151"/>
      <c r="B12" s="3152" t="s">
        <v>1096</v>
      </c>
      <c r="C12" s="3152"/>
      <c r="D12" s="1306"/>
      <c r="E12" s="1306"/>
      <c r="F12" s="1307"/>
      <c r="G12" s="1308"/>
      <c r="H12" s="1315"/>
      <c r="I12" s="1305">
        <f>ROUND(D12*E12*F12*G12/10000,0)</f>
        <v>0</v>
      </c>
    </row>
    <row r="13" spans="1:9">
      <c r="A13" s="3151"/>
      <c r="B13" s="3152" t="s">
        <v>1097</v>
      </c>
      <c r="C13" s="3152"/>
      <c r="D13" s="1306"/>
      <c r="E13" s="1306"/>
      <c r="F13" s="1307"/>
      <c r="G13" s="1308"/>
      <c r="H13" s="1315"/>
      <c r="I13" s="1305">
        <f>ROUND(D13*E13*F13*G13/10000,0)</f>
        <v>0</v>
      </c>
    </row>
    <row r="14" spans="1:9">
      <c r="A14" s="3151"/>
      <c r="B14" s="3152" t="s">
        <v>1098</v>
      </c>
      <c r="C14" s="3152"/>
      <c r="D14" s="1306"/>
      <c r="E14" s="1306"/>
      <c r="F14" s="1307"/>
      <c r="G14" s="1308"/>
      <c r="H14" s="1315"/>
      <c r="I14" s="1305">
        <f>ROUND(D14*E14*F14*G14/10000,0)</f>
        <v>0</v>
      </c>
    </row>
    <row r="15" spans="1:9">
      <c r="A15" s="3151"/>
      <c r="B15" s="3153" t="s">
        <v>1089</v>
      </c>
      <c r="C15" s="3153"/>
      <c r="D15" s="1310"/>
      <c r="E15" s="1310">
        <f>SUM(E12:E14)</f>
        <v>0</v>
      </c>
      <c r="F15" s="1311"/>
      <c r="G15" s="1308"/>
      <c r="H15" s="1315"/>
      <c r="I15" s="1316">
        <f>SUM(I12:I14)</f>
        <v>0</v>
      </c>
    </row>
    <row r="16" spans="1:9" ht="24">
      <c r="A16" s="3151" t="s">
        <v>1099</v>
      </c>
      <c r="B16" s="3152" t="s">
        <v>1100</v>
      </c>
      <c r="C16" s="3152"/>
      <c r="D16" s="1306" t="s">
        <v>1076</v>
      </c>
      <c r="E16" s="1317" t="s">
        <v>1101</v>
      </c>
      <c r="F16" s="1307" t="s">
        <v>1102</v>
      </c>
      <c r="G16" s="1308" t="s">
        <v>1080</v>
      </c>
      <c r="H16" s="1314" t="s">
        <v>1095</v>
      </c>
      <c r="I16" s="1305" t="s">
        <v>1081</v>
      </c>
    </row>
    <row r="17" spans="1:9" ht="14.25">
      <c r="A17" s="3151"/>
      <c r="B17" s="3152" t="s">
        <v>1103</v>
      </c>
      <c r="C17" s="3152"/>
      <c r="D17" s="1306"/>
      <c r="E17" s="1306"/>
      <c r="F17" s="1307"/>
      <c r="G17" s="1308"/>
      <c r="H17" s="1318"/>
      <c r="I17" s="1319">
        <f>ROUND(D17*E17*F17*G17/10000,0)</f>
        <v>0</v>
      </c>
    </row>
    <row r="18" spans="1:9" ht="14.25">
      <c r="A18" s="3151"/>
      <c r="B18" s="3152" t="s">
        <v>1104</v>
      </c>
      <c r="C18" s="3152"/>
      <c r="D18" s="1306"/>
      <c r="E18" s="1306"/>
      <c r="F18" s="1307"/>
      <c r="G18" s="1308"/>
      <c r="H18" s="1318"/>
      <c r="I18" s="1319">
        <f>ROUND(D18*E18*F18*G18/10000,0)</f>
        <v>0</v>
      </c>
    </row>
    <row r="19" spans="1:9" ht="14.25">
      <c r="A19" s="3151"/>
      <c r="B19" s="3152" t="s">
        <v>1105</v>
      </c>
      <c r="C19" s="3152"/>
      <c r="D19" s="1306"/>
      <c r="E19" s="1306"/>
      <c r="F19" s="1307"/>
      <c r="G19" s="1308"/>
      <c r="H19" s="1318"/>
      <c r="I19" s="1319">
        <f>ROUND(D19*E19*F19*G19/10000,0)</f>
        <v>0</v>
      </c>
    </row>
    <row r="20" spans="1:9">
      <c r="A20" s="3151"/>
      <c r="B20" s="3153" t="s">
        <v>1089</v>
      </c>
      <c r="C20" s="3153"/>
      <c r="D20" s="1310">
        <f>SUM(D17:D19)</f>
        <v>0</v>
      </c>
      <c r="E20" s="1310"/>
      <c r="F20" s="1311"/>
      <c r="G20" s="1308"/>
      <c r="H20" s="1315"/>
      <c r="I20" s="1316">
        <f>SUM(I17:I19)</f>
        <v>0</v>
      </c>
    </row>
    <row r="21" spans="1:9">
      <c r="A21" s="3151" t="s">
        <v>1106</v>
      </c>
      <c r="B21" s="3154"/>
      <c r="C21" s="3154"/>
      <c r="D21" s="3154"/>
      <c r="E21" s="3154"/>
      <c r="F21" s="3154"/>
      <c r="G21" s="3154"/>
      <c r="H21" s="1768">
        <v>0.1</v>
      </c>
      <c r="I21" s="1313">
        <f>ROUND(I10*H21,0)</f>
        <v>0</v>
      </c>
    </row>
    <row r="22" spans="1:9" ht="14.25">
      <c r="A22" s="3155" t="s">
        <v>1107</v>
      </c>
      <c r="B22" s="3156"/>
      <c r="C22" s="3157"/>
      <c r="D22" s="1320" t="s">
        <v>1108</v>
      </c>
      <c r="E22" s="1320" t="s">
        <v>1109</v>
      </c>
      <c r="F22" s="1321" t="s">
        <v>1110</v>
      </c>
      <c r="G22" s="1321" t="s">
        <v>1111</v>
      </c>
      <c r="H22" s="1314" t="s">
        <v>1112</v>
      </c>
      <c r="I22" s="1305" t="s">
        <v>1113</v>
      </c>
    </row>
    <row r="23" spans="1:9" ht="14.25" thickBot="1">
      <c r="A23" s="3158"/>
      <c r="B23" s="3159"/>
      <c r="C23" s="3160"/>
      <c r="D23" s="1322"/>
      <c r="E23" s="1322"/>
      <c r="F23" s="1322"/>
      <c r="G23" s="1323"/>
      <c r="H23" s="1324"/>
      <c r="I23" s="1325">
        <f>ROUND(E23*D23*F23*(1-G23)/10000,0)</f>
        <v>0</v>
      </c>
    </row>
    <row r="26" spans="1:9">
      <c r="A26" s="1326" t="s">
        <v>1114</v>
      </c>
      <c r="B26" s="1326"/>
      <c r="C26" s="1326"/>
      <c r="D26" s="1326"/>
      <c r="E26" s="3148">
        <f>C27-C30-C31-C32</f>
        <v>0</v>
      </c>
      <c r="F26" s="3148"/>
      <c r="G26" s="3148"/>
      <c r="H26" s="1740" t="s">
        <v>1336</v>
      </c>
    </row>
    <row r="27" spans="1:9">
      <c r="A27" s="1327">
        <v>1</v>
      </c>
      <c r="B27" s="1328" t="s">
        <v>1115</v>
      </c>
      <c r="C27" s="1328">
        <f>C28+C29</f>
        <v>0</v>
      </c>
      <c r="D27" s="1328"/>
      <c r="E27" s="3149"/>
      <c r="F27" s="3149"/>
      <c r="G27" s="3149"/>
    </row>
    <row r="28" spans="1:9">
      <c r="A28" s="1329" t="s">
        <v>1116</v>
      </c>
      <c r="B28" s="1328" t="s">
        <v>1117</v>
      </c>
      <c r="C28" s="1328"/>
      <c r="D28" s="1328"/>
      <c r="E28" s="3149"/>
      <c r="F28" s="3149"/>
      <c r="G28" s="314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50"/>
      <c r="F32" s="3150"/>
      <c r="G32" s="3150"/>
    </row>
    <row r="33" spans="1:7" hidden="1">
      <c r="A33" s="3145" t="s">
        <v>1126</v>
      </c>
      <c r="B33" s="3146"/>
      <c r="C33" s="3146"/>
      <c r="D33" s="3147"/>
      <c r="E33" s="3148"/>
      <c r="F33" s="3148"/>
      <c r="G33" s="3148"/>
    </row>
    <row r="34" spans="1:7" hidden="1">
      <c r="A34" s="1331">
        <v>1</v>
      </c>
      <c r="B34" s="1328" t="s">
        <v>1127</v>
      </c>
      <c r="C34" s="1328"/>
      <c r="D34" s="1328"/>
      <c r="E34" s="3149"/>
      <c r="F34" s="3149"/>
      <c r="G34" s="3149"/>
    </row>
    <row r="35" spans="1:7" hidden="1">
      <c r="A35" s="1331">
        <v>2</v>
      </c>
      <c r="B35" s="1328" t="s">
        <v>1128</v>
      </c>
      <c r="C35" s="1328"/>
      <c r="D35" s="1328"/>
      <c r="E35" s="3149"/>
      <c r="F35" s="3149"/>
      <c r="G35" s="3149"/>
    </row>
    <row r="36" spans="1:7" hidden="1">
      <c r="A36" s="1331">
        <v>3</v>
      </c>
      <c r="B36" s="1328" t="s">
        <v>1129</v>
      </c>
      <c r="C36" s="1328"/>
      <c r="D36" s="1328"/>
      <c r="E36" s="3149"/>
      <c r="F36" s="3149"/>
      <c r="G36" s="3149"/>
    </row>
    <row r="37" spans="1:7" hidden="1">
      <c r="A37" s="1331">
        <v>4</v>
      </c>
      <c r="B37" s="1328" t="s">
        <v>1130</v>
      </c>
      <c r="C37" s="1328"/>
      <c r="D37" s="1328"/>
      <c r="E37" s="3149"/>
      <c r="F37" s="3149"/>
      <c r="G37" s="3149"/>
    </row>
    <row r="38" spans="1:7" hidden="1">
      <c r="A38" s="3145" t="s">
        <v>1131</v>
      </c>
      <c r="B38" s="3146"/>
      <c r="C38" s="3146"/>
      <c r="D38" s="3147"/>
      <c r="E38" s="3148"/>
      <c r="F38" s="3148"/>
      <c r="G38" s="31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2537</v>
      </c>
      <c r="D3" s="399">
        <f>IF(D1="",'数据-汇总表'!E3,SUMIF('数据-汇总表'!$C19:$C33,D1,'数据-汇总表'!$E19:$E33))</f>
        <v>0</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84" t="s">
        <v>2539</v>
      </c>
      <c r="D4" s="3185"/>
      <c r="E4" s="3186" t="s">
        <v>2540</v>
      </c>
      <c r="F4" s="3187"/>
      <c r="G4" s="3184" t="s">
        <v>2541</v>
      </c>
      <c r="H4" s="3185"/>
      <c r="I4" s="3184" t="s">
        <v>2542</v>
      </c>
      <c r="J4" s="3185"/>
      <c r="K4" s="2602" t="s">
        <v>2543</v>
      </c>
      <c r="L4" s="1133"/>
      <c r="M4" s="1134"/>
      <c r="N4" s="1134"/>
      <c r="O4" s="1134"/>
      <c r="P4" s="3188" t="s">
        <v>2544</v>
      </c>
      <c r="Q4" s="3189"/>
      <c r="R4" s="3194" t="s">
        <v>2540</v>
      </c>
      <c r="S4" s="3195"/>
      <c r="T4" s="3194" t="s">
        <v>2541</v>
      </c>
      <c r="U4" s="3195"/>
      <c r="V4" s="3200" t="s">
        <v>2542</v>
      </c>
      <c r="W4" s="3200"/>
      <c r="X4" s="1816"/>
      <c r="Y4" s="3194" t="s">
        <v>2544</v>
      </c>
      <c r="Z4" s="3195"/>
      <c r="AA4" s="3181" t="s">
        <v>2540</v>
      </c>
      <c r="AB4" s="3181" t="s">
        <v>2541</v>
      </c>
      <c r="AC4" s="3181" t="s">
        <v>2542</v>
      </c>
    </row>
    <row r="5" spans="1:29" ht="15">
      <c r="A5" s="404"/>
      <c r="B5" s="405"/>
      <c r="C5" s="3203" t="s">
        <v>2545</v>
      </c>
      <c r="D5" s="3204"/>
      <c r="E5" s="3210" t="s">
        <v>2546</v>
      </c>
      <c r="F5" s="3211"/>
      <c r="G5" s="3203" t="s">
        <v>2547</v>
      </c>
      <c r="H5" s="3204"/>
      <c r="I5" s="3203" t="s">
        <v>2548</v>
      </c>
      <c r="J5" s="3204"/>
      <c r="K5" s="2603"/>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2549</v>
      </c>
      <c r="D6" s="3202"/>
      <c r="E6" s="3208" t="s">
        <v>2549</v>
      </c>
      <c r="F6" s="3209"/>
      <c r="G6" s="3201" t="s">
        <v>2549</v>
      </c>
      <c r="H6" s="3202"/>
      <c r="I6" s="3201" t="s">
        <v>2549</v>
      </c>
      <c r="J6" s="3202"/>
      <c r="K6" s="2603" t="s">
        <v>2550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2551</v>
      </c>
      <c r="B7" s="409"/>
      <c r="C7" s="410">
        <f>'数据-取费表'!B2</f>
        <v>43465</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05" t="s">
        <v>2552</v>
      </c>
      <c r="Q7" s="3207"/>
      <c r="R7" s="770" t="s">
        <v>23</v>
      </c>
      <c r="S7" s="771">
        <f t="shared" ref="S7:S15" si="0">F7</f>
        <v>0</v>
      </c>
      <c r="T7" s="770" t="s">
        <v>23</v>
      </c>
      <c r="U7" s="771">
        <f t="shared" ref="U7:U15" si="1">H7</f>
        <v>0</v>
      </c>
      <c r="V7" s="770" t="s">
        <v>23</v>
      </c>
      <c r="W7" s="771">
        <f t="shared" ref="W7:W15" si="2">J7</f>
        <v>0</v>
      </c>
      <c r="X7" s="772"/>
      <c r="Y7" s="3205" t="s">
        <v>2552</v>
      </c>
      <c r="Z7" s="3206"/>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05" t="s">
        <v>2555</v>
      </c>
      <c r="Q8" s="3206"/>
      <c r="R8" s="770" t="s">
        <v>23</v>
      </c>
      <c r="S8" s="771">
        <f t="shared" si="0"/>
        <v>0</v>
      </c>
      <c r="T8" s="770" t="s">
        <v>23</v>
      </c>
      <c r="U8" s="771">
        <f t="shared" si="1"/>
        <v>0</v>
      </c>
      <c r="V8" s="770" t="s">
        <v>23</v>
      </c>
      <c r="W8" s="771">
        <f t="shared" si="2"/>
        <v>0</v>
      </c>
      <c r="X8" s="772"/>
      <c r="Y8" s="3205" t="s">
        <v>2555</v>
      </c>
      <c r="Z8" s="3206"/>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80" t="s">
        <v>2558</v>
      </c>
      <c r="Q9" s="1798" t="str">
        <f t="shared" ref="Q9:Q15" si="6">B9</f>
        <v>用途</v>
      </c>
      <c r="R9" s="770" t="s">
        <v>17</v>
      </c>
      <c r="S9" s="771">
        <f t="shared" si="0"/>
        <v>100</v>
      </c>
      <c r="T9" s="770" t="s">
        <v>17</v>
      </c>
      <c r="U9" s="771">
        <f t="shared" si="1"/>
        <v>100</v>
      </c>
      <c r="V9" s="770" t="s">
        <v>17</v>
      </c>
      <c r="W9" s="771">
        <f t="shared" si="2"/>
        <v>100</v>
      </c>
      <c r="X9" s="772"/>
      <c r="Y9" s="299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0"/>
      <c r="Q11" s="1798" t="str">
        <f t="shared" si="6"/>
        <v>容积率</v>
      </c>
      <c r="R11" s="770" t="s">
        <v>21</v>
      </c>
      <c r="S11" s="771" t="e">
        <f t="shared" si="0"/>
        <v>#N/A</v>
      </c>
      <c r="T11" s="770" t="s">
        <v>21</v>
      </c>
      <c r="U11" s="771" t="e">
        <f t="shared" si="1"/>
        <v>#N/A</v>
      </c>
      <c r="V11" s="770" t="s">
        <v>21</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80"/>
      <c r="Q12" s="1798">
        <f t="shared" si="6"/>
        <v>111</v>
      </c>
      <c r="R12" s="770" t="s">
        <v>21</v>
      </c>
      <c r="S12" s="771">
        <f t="shared" si="0"/>
        <v>100</v>
      </c>
      <c r="T12" s="770" t="s">
        <v>21</v>
      </c>
      <c r="U12" s="771">
        <f t="shared" si="1"/>
        <v>100</v>
      </c>
      <c r="V12" s="770" t="s">
        <v>21</v>
      </c>
      <c r="W12" s="771">
        <f t="shared" si="2"/>
        <v>100</v>
      </c>
      <c r="X12" s="772"/>
      <c r="Y12" s="299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80"/>
      <c r="Q13" s="1798">
        <f t="shared" si="6"/>
        <v>111</v>
      </c>
      <c r="R13" s="770" t="s">
        <v>21</v>
      </c>
      <c r="S13" s="771">
        <f t="shared" si="0"/>
        <v>100</v>
      </c>
      <c r="T13" s="770" t="s">
        <v>21</v>
      </c>
      <c r="U13" s="771">
        <f t="shared" si="1"/>
        <v>100</v>
      </c>
      <c r="V13" s="770" t="s">
        <v>21</v>
      </c>
      <c r="W13" s="771">
        <f t="shared" si="2"/>
        <v>100</v>
      </c>
      <c r="X13" s="772"/>
      <c r="Y13" s="299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80"/>
      <c r="Q14" s="1798">
        <f t="shared" si="6"/>
        <v>111</v>
      </c>
      <c r="R14" s="770" t="s">
        <v>21</v>
      </c>
      <c r="S14" s="771">
        <f t="shared" si="0"/>
        <v>100</v>
      </c>
      <c r="T14" s="770" t="s">
        <v>21</v>
      </c>
      <c r="U14" s="771">
        <f t="shared" si="1"/>
        <v>100</v>
      </c>
      <c r="V14" s="770" t="s">
        <v>21</v>
      </c>
      <c r="W14" s="771">
        <f t="shared" si="2"/>
        <v>100</v>
      </c>
      <c r="X14" s="772"/>
      <c r="Y14" s="2994"/>
      <c r="Z14" s="55">
        <f t="shared" si="7"/>
        <v>111</v>
      </c>
      <c r="AA14" s="773">
        <f t="shared" si="3"/>
        <v>1</v>
      </c>
      <c r="AB14" s="773">
        <f t="shared" si="4"/>
        <v>1</v>
      </c>
      <c r="AC14" s="773">
        <f t="shared" si="5"/>
        <v>1</v>
      </c>
    </row>
    <row r="15" spans="1:29" ht="99.75">
      <c r="A15" s="440" t="s">
        <v>2562</v>
      </c>
      <c r="B15" s="69" t="s">
        <v>2086</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8" t="s">
        <v>2563</v>
      </c>
      <c r="Q15" s="1813" t="str">
        <f t="shared" si="6"/>
        <v>居住社区成熟度</v>
      </c>
      <c r="R15" s="774" t="s">
        <v>21</v>
      </c>
      <c r="S15" s="775">
        <f t="shared" si="0"/>
        <v>100</v>
      </c>
      <c r="T15" s="774" t="s">
        <v>21</v>
      </c>
      <c r="U15" s="775">
        <f t="shared" si="1"/>
        <v>100</v>
      </c>
      <c r="V15" s="774" t="s">
        <v>21</v>
      </c>
      <c r="W15" s="775">
        <f t="shared" si="2"/>
        <v>100</v>
      </c>
      <c r="X15" s="1816"/>
      <c r="Y15" s="3171"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179"/>
      <c r="Q16" s="1813"/>
      <c r="R16" s="774"/>
      <c r="S16" s="775"/>
      <c r="T16" s="774"/>
      <c r="U16" s="775"/>
      <c r="V16" s="774"/>
      <c r="W16" s="775"/>
      <c r="X16" s="1816"/>
      <c r="Y16" s="3172"/>
      <c r="Z16" s="1817"/>
      <c r="AA16" s="1814">
        <v>1</v>
      </c>
      <c r="AB16" s="1814">
        <v>1</v>
      </c>
      <c r="AC16" s="1814">
        <v>1</v>
      </c>
    </row>
    <row r="17" spans="1:29" ht="85.5">
      <c r="A17" s="428"/>
      <c r="B17" s="451" t="s">
        <v>2098</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9"/>
      <c r="Q17" s="1813" t="str">
        <f>B17</f>
        <v>交通便捷度</v>
      </c>
      <c r="R17" s="774" t="s">
        <v>21</v>
      </c>
      <c r="S17" s="775">
        <f>F17</f>
        <v>100</v>
      </c>
      <c r="T17" s="774" t="s">
        <v>21</v>
      </c>
      <c r="U17" s="775">
        <f>H17</f>
        <v>100</v>
      </c>
      <c r="V17" s="774" t="s">
        <v>21</v>
      </c>
      <c r="W17" s="775">
        <f>J17</f>
        <v>100</v>
      </c>
      <c r="X17" s="1816"/>
      <c r="Y17" s="3172"/>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179"/>
      <c r="Q18" s="1813"/>
      <c r="R18" s="774"/>
      <c r="S18" s="775"/>
      <c r="T18" s="774"/>
      <c r="U18" s="775"/>
      <c r="V18" s="774"/>
      <c r="W18" s="775"/>
      <c r="X18" s="1816"/>
      <c r="Y18" s="3172"/>
      <c r="Z18" s="1817"/>
      <c r="AA18" s="1814">
        <v>1</v>
      </c>
      <c r="AB18" s="1814">
        <v>1</v>
      </c>
      <c r="AC18" s="1814">
        <v>1</v>
      </c>
    </row>
    <row r="19" spans="1:29" ht="42.75">
      <c r="A19" s="428"/>
      <c r="B19" s="451" t="s">
        <v>2096</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9"/>
      <c r="Q19" s="1813" t="str">
        <f>B19</f>
        <v>公共配套设施</v>
      </c>
      <c r="R19" s="774" t="s">
        <v>21</v>
      </c>
      <c r="S19" s="775">
        <f>F19</f>
        <v>100</v>
      </c>
      <c r="T19" s="774" t="s">
        <v>21</v>
      </c>
      <c r="U19" s="775">
        <f>H19</f>
        <v>100</v>
      </c>
      <c r="V19" s="774" t="s">
        <v>21</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179"/>
      <c r="Q20" s="1813"/>
      <c r="R20" s="774"/>
      <c r="S20" s="775"/>
      <c r="T20" s="774"/>
      <c r="U20" s="775"/>
      <c r="V20" s="774"/>
      <c r="W20" s="775"/>
      <c r="X20" s="1816"/>
      <c r="Y20" s="3172"/>
      <c r="Z20" s="1817"/>
      <c r="AA20" s="1814">
        <v>1</v>
      </c>
      <c r="AB20" s="1814">
        <v>1</v>
      </c>
      <c r="AC20" s="1814">
        <v>1</v>
      </c>
    </row>
    <row r="21" spans="1:29" ht="28.5">
      <c r="A21" s="428"/>
      <c r="B21" s="1387" t="s">
        <v>2099</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179"/>
      <c r="Q22" s="1813"/>
      <c r="R22" s="774"/>
      <c r="S22" s="775"/>
      <c r="T22" s="774"/>
      <c r="U22" s="775"/>
      <c r="V22" s="774"/>
      <c r="W22" s="775"/>
      <c r="X22" s="1816"/>
      <c r="Y22" s="3172"/>
      <c r="Z22" s="1817"/>
      <c r="AA22" s="1814">
        <v>1</v>
      </c>
      <c r="AB22" s="1814">
        <v>1</v>
      </c>
      <c r="AC22" s="1814">
        <v>1</v>
      </c>
    </row>
    <row r="23" spans="1:29" ht="57">
      <c r="A23" s="428"/>
      <c r="B23" s="451" t="s">
        <v>2103</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9"/>
      <c r="Q23" s="1813" t="str">
        <f>B23</f>
        <v>自然及人文环境</v>
      </c>
      <c r="R23" s="774" t="s">
        <v>21</v>
      </c>
      <c r="S23" s="775">
        <f>F23</f>
        <v>100</v>
      </c>
      <c r="T23" s="774" t="s">
        <v>21</v>
      </c>
      <c r="U23" s="775">
        <f>H23</f>
        <v>100</v>
      </c>
      <c r="V23" s="774" t="s">
        <v>21</v>
      </c>
      <c r="W23" s="775">
        <f>J23</f>
        <v>100</v>
      </c>
      <c r="X23" s="1816"/>
      <c r="Y23" s="3172"/>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179"/>
      <c r="Q24" s="1813"/>
      <c r="R24" s="774"/>
      <c r="S24" s="775"/>
      <c r="T24" s="774"/>
      <c r="U24" s="775"/>
      <c r="V24" s="774"/>
      <c r="W24" s="775"/>
      <c r="X24" s="1816"/>
      <c r="Y24" s="3172"/>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17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2"/>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179"/>
      <c r="Q26" s="1813" t="str">
        <f t="shared" si="11"/>
        <v>朝向</v>
      </c>
      <c r="R26" s="774" t="s">
        <v>21</v>
      </c>
      <c r="S26" s="775">
        <f t="shared" si="12"/>
        <v>100</v>
      </c>
      <c r="T26" s="774" t="s">
        <v>21</v>
      </c>
      <c r="U26" s="775">
        <f t="shared" si="13"/>
        <v>100</v>
      </c>
      <c r="V26" s="774" t="s">
        <v>21</v>
      </c>
      <c r="W26" s="775">
        <f t="shared" si="14"/>
        <v>100</v>
      </c>
      <c r="X26" s="1816"/>
      <c r="Y26" s="317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179"/>
      <c r="Q27" s="1798">
        <f t="shared" si="11"/>
        <v>111</v>
      </c>
      <c r="R27" s="770" t="s">
        <v>21</v>
      </c>
      <c r="S27" s="771">
        <f t="shared" si="12"/>
        <v>100</v>
      </c>
      <c r="T27" s="770" t="s">
        <v>21</v>
      </c>
      <c r="U27" s="771">
        <f t="shared" si="13"/>
        <v>100</v>
      </c>
      <c r="V27" s="770" t="s">
        <v>21</v>
      </c>
      <c r="W27" s="771">
        <f t="shared" si="14"/>
        <v>100</v>
      </c>
      <c r="X27" s="772"/>
      <c r="Y27" s="317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179"/>
      <c r="Q28" s="1813">
        <f t="shared" si="11"/>
        <v>111</v>
      </c>
      <c r="R28" s="774" t="s">
        <v>21</v>
      </c>
      <c r="S28" s="775">
        <f t="shared" si="12"/>
        <v>100</v>
      </c>
      <c r="T28" s="774" t="s">
        <v>21</v>
      </c>
      <c r="U28" s="775">
        <f t="shared" si="13"/>
        <v>100</v>
      </c>
      <c r="V28" s="774" t="s">
        <v>21</v>
      </c>
      <c r="W28" s="775">
        <f t="shared" si="14"/>
        <v>100</v>
      </c>
      <c r="X28" s="1816"/>
      <c r="Y28" s="317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179"/>
      <c r="Q29" s="1813">
        <f t="shared" si="11"/>
        <v>111</v>
      </c>
      <c r="R29" s="774" t="s">
        <v>21</v>
      </c>
      <c r="S29" s="775">
        <f t="shared" si="12"/>
        <v>100</v>
      </c>
      <c r="T29" s="774" t="s">
        <v>21</v>
      </c>
      <c r="U29" s="775">
        <f t="shared" si="13"/>
        <v>100</v>
      </c>
      <c r="V29" s="774" t="s">
        <v>21</v>
      </c>
      <c r="W29" s="775">
        <f t="shared" si="14"/>
        <v>100</v>
      </c>
      <c r="X29" s="1816"/>
      <c r="Y29" s="317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179"/>
      <c r="Q30" s="1813">
        <f t="shared" si="11"/>
        <v>111</v>
      </c>
      <c r="R30" s="774" t="s">
        <v>21</v>
      </c>
      <c r="S30" s="775">
        <f t="shared" si="12"/>
        <v>100</v>
      </c>
      <c r="T30" s="774" t="s">
        <v>21</v>
      </c>
      <c r="U30" s="775">
        <f t="shared" si="13"/>
        <v>100</v>
      </c>
      <c r="V30" s="774" t="s">
        <v>21</v>
      </c>
      <c r="W30" s="775">
        <f t="shared" si="14"/>
        <v>100</v>
      </c>
      <c r="X30" s="1816"/>
      <c r="Y30" s="317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179"/>
      <c r="Q31" s="1813">
        <f t="shared" si="11"/>
        <v>111</v>
      </c>
      <c r="R31" s="774" t="s">
        <v>21</v>
      </c>
      <c r="S31" s="775">
        <f t="shared" si="12"/>
        <v>100</v>
      </c>
      <c r="T31" s="774" t="s">
        <v>21</v>
      </c>
      <c r="U31" s="775">
        <f t="shared" si="13"/>
        <v>100</v>
      </c>
      <c r="V31" s="774" t="s">
        <v>21</v>
      </c>
      <c r="W31" s="775">
        <f t="shared" si="14"/>
        <v>100</v>
      </c>
      <c r="X31" s="1816"/>
      <c r="Y31" s="3172"/>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173" t="s">
        <v>2568</v>
      </c>
      <c r="Q32" s="1813" t="str">
        <f t="shared" si="11"/>
        <v>建筑类型</v>
      </c>
      <c r="R32" s="774" t="s">
        <v>21</v>
      </c>
      <c r="S32" s="775">
        <f t="shared" si="12"/>
        <v>100</v>
      </c>
      <c r="T32" s="774" t="s">
        <v>21</v>
      </c>
      <c r="U32" s="775">
        <f t="shared" si="13"/>
        <v>100</v>
      </c>
      <c r="V32" s="774" t="s">
        <v>21</v>
      </c>
      <c r="W32" s="775">
        <f t="shared" si="14"/>
        <v>100</v>
      </c>
      <c r="X32" s="1816"/>
      <c r="Y32" s="3176"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174"/>
      <c r="Q33" s="776" t="str">
        <f t="shared" si="11"/>
        <v>项目建筑规模</v>
      </c>
      <c r="R33" s="777" t="s">
        <v>21</v>
      </c>
      <c r="S33" s="778" t="e">
        <f t="shared" si="12"/>
        <v>#N/A</v>
      </c>
      <c r="T33" s="777" t="s">
        <v>21</v>
      </c>
      <c r="U33" s="778" t="e">
        <f t="shared" si="13"/>
        <v>#N/A</v>
      </c>
      <c r="V33" s="777" t="s">
        <v>21</v>
      </c>
      <c r="W33" s="778" t="e">
        <f t="shared" si="14"/>
        <v>#N/A</v>
      </c>
      <c r="X33" s="779"/>
      <c r="Y33" s="3176"/>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174"/>
      <c r="Q34" s="1813" t="str">
        <f t="shared" si="11"/>
        <v>建筑结构</v>
      </c>
      <c r="R34" s="774" t="s">
        <v>21</v>
      </c>
      <c r="S34" s="775">
        <f t="shared" si="12"/>
        <v>100</v>
      </c>
      <c r="T34" s="774" t="s">
        <v>21</v>
      </c>
      <c r="U34" s="775">
        <f t="shared" si="13"/>
        <v>100</v>
      </c>
      <c r="V34" s="774" t="s">
        <v>21</v>
      </c>
      <c r="W34" s="775">
        <f t="shared" si="14"/>
        <v>100</v>
      </c>
      <c r="X34" s="1816"/>
      <c r="Y34" s="3176"/>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174"/>
      <c r="Q35" s="1813" t="str">
        <f t="shared" si="11"/>
        <v>建筑品质</v>
      </c>
      <c r="R35" s="774" t="s">
        <v>21</v>
      </c>
      <c r="S35" s="775">
        <f t="shared" si="12"/>
        <v>100</v>
      </c>
      <c r="T35" s="774" t="s">
        <v>21</v>
      </c>
      <c r="U35" s="775">
        <f t="shared" si="13"/>
        <v>100</v>
      </c>
      <c r="V35" s="774" t="s">
        <v>21</v>
      </c>
      <c r="W35" s="775">
        <f t="shared" si="14"/>
        <v>100</v>
      </c>
      <c r="X35" s="1816"/>
      <c r="Y35" s="3176"/>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174"/>
      <c r="Q36" s="1813" t="str">
        <f t="shared" si="11"/>
        <v>公共部分装修</v>
      </c>
      <c r="R36" s="774" t="s">
        <v>21</v>
      </c>
      <c r="S36" s="775">
        <f t="shared" si="12"/>
        <v>100</v>
      </c>
      <c r="T36" s="774" t="s">
        <v>21</v>
      </c>
      <c r="U36" s="775">
        <f t="shared" si="13"/>
        <v>100</v>
      </c>
      <c r="V36" s="774" t="s">
        <v>21</v>
      </c>
      <c r="W36" s="775">
        <f t="shared" si="14"/>
        <v>100</v>
      </c>
      <c r="X36" s="1816"/>
      <c r="Y36" s="3176"/>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4"/>
      <c r="Q37" s="1798" t="str">
        <f t="shared" si="11"/>
        <v>成新度</v>
      </c>
      <c r="R37" s="770" t="s">
        <v>21</v>
      </c>
      <c r="S37" s="771" t="e">
        <f t="shared" si="12"/>
        <v>#N/A</v>
      </c>
      <c r="T37" s="770" t="s">
        <v>21</v>
      </c>
      <c r="U37" s="771" t="e">
        <f t="shared" si="13"/>
        <v>#N/A</v>
      </c>
      <c r="V37" s="770" t="s">
        <v>21</v>
      </c>
      <c r="W37" s="771" t="e">
        <f t="shared" si="14"/>
        <v>#N/A</v>
      </c>
      <c r="X37" s="772"/>
      <c r="Y37" s="3176"/>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174" t="s">
        <v>2568</v>
      </c>
      <c r="Q38" s="1813" t="str">
        <f t="shared" si="11"/>
        <v>物业管理</v>
      </c>
      <c r="R38" s="774" t="s">
        <v>21</v>
      </c>
      <c r="S38" s="775">
        <f t="shared" si="12"/>
        <v>100</v>
      </c>
      <c r="T38" s="774" t="s">
        <v>21</v>
      </c>
      <c r="U38" s="775">
        <f t="shared" si="13"/>
        <v>100</v>
      </c>
      <c r="V38" s="774" t="s">
        <v>21</v>
      </c>
      <c r="W38" s="775">
        <f t="shared" si="14"/>
        <v>100</v>
      </c>
      <c r="X38" s="1816"/>
      <c r="Y38" s="3176"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174"/>
      <c r="Q39" s="1813" t="str">
        <f t="shared" si="11"/>
        <v>市政基础设施</v>
      </c>
      <c r="R39" s="774" t="s">
        <v>21</v>
      </c>
      <c r="S39" s="775">
        <f t="shared" si="12"/>
        <v>100</v>
      </c>
      <c r="T39" s="774" t="s">
        <v>21</v>
      </c>
      <c r="U39" s="775">
        <f t="shared" si="13"/>
        <v>100</v>
      </c>
      <c r="V39" s="774" t="s">
        <v>21</v>
      </c>
      <c r="W39" s="775">
        <f t="shared" si="14"/>
        <v>100</v>
      </c>
      <c r="X39" s="1816"/>
      <c r="Y39" s="3176"/>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174"/>
      <c r="Q40" s="1813" t="str">
        <f t="shared" si="11"/>
        <v>房型</v>
      </c>
      <c r="R40" s="774" t="s">
        <v>21</v>
      </c>
      <c r="S40" s="775">
        <f t="shared" si="12"/>
        <v>100</v>
      </c>
      <c r="T40" s="774" t="s">
        <v>21</v>
      </c>
      <c r="U40" s="775">
        <f t="shared" si="13"/>
        <v>100</v>
      </c>
      <c r="V40" s="774" t="s">
        <v>21</v>
      </c>
      <c r="W40" s="775">
        <f t="shared" si="14"/>
        <v>100</v>
      </c>
      <c r="X40" s="1816"/>
      <c r="Y40" s="3176"/>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17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174"/>
      <c r="Q42" s="1813" t="str">
        <f t="shared" si="11"/>
        <v>内部装修</v>
      </c>
      <c r="R42" s="774" t="s">
        <v>21</v>
      </c>
      <c r="S42" s="775">
        <f t="shared" si="12"/>
        <v>100</v>
      </c>
      <c r="T42" s="774" t="s">
        <v>21</v>
      </c>
      <c r="U42" s="775">
        <f t="shared" si="13"/>
        <v>100</v>
      </c>
      <c r="V42" s="774" t="s">
        <v>21</v>
      </c>
      <c r="W42" s="775">
        <f t="shared" si="14"/>
        <v>100</v>
      </c>
      <c r="X42" s="1816"/>
      <c r="Y42" s="3176"/>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74"/>
      <c r="Q43" s="1813" t="str">
        <f t="shared" si="11"/>
        <v>内部装修维护情况</v>
      </c>
      <c r="R43" s="774" t="s">
        <v>21</v>
      </c>
      <c r="S43" s="775">
        <f t="shared" si="12"/>
        <v>100</v>
      </c>
      <c r="T43" s="774" t="s">
        <v>21</v>
      </c>
      <c r="U43" s="775">
        <f t="shared" si="13"/>
        <v>100</v>
      </c>
      <c r="V43" s="774" t="s">
        <v>21</v>
      </c>
      <c r="W43" s="775">
        <f t="shared" si="14"/>
        <v>100</v>
      </c>
      <c r="X43" s="1816"/>
      <c r="Y43" s="317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74"/>
      <c r="Q44" s="1798">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74"/>
      <c r="Q45" s="1813">
        <f t="shared" si="11"/>
        <v>111</v>
      </c>
      <c r="R45" s="774" t="s">
        <v>21</v>
      </c>
      <c r="S45" s="775">
        <f t="shared" si="12"/>
        <v>100</v>
      </c>
      <c r="T45" s="774" t="s">
        <v>21</v>
      </c>
      <c r="U45" s="775">
        <f t="shared" si="13"/>
        <v>100</v>
      </c>
      <c r="V45" s="774" t="s">
        <v>21</v>
      </c>
      <c r="W45" s="775">
        <f t="shared" si="14"/>
        <v>100</v>
      </c>
      <c r="X45" s="1816"/>
      <c r="Y45" s="3176"/>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75"/>
      <c r="Q46" s="1813">
        <f t="shared" si="11"/>
        <v>111</v>
      </c>
      <c r="R46" s="774" t="s">
        <v>20</v>
      </c>
      <c r="S46" s="775">
        <f t="shared" si="12"/>
        <v>100</v>
      </c>
      <c r="T46" s="774" t="s">
        <v>20</v>
      </c>
      <c r="U46" s="775">
        <f t="shared" si="13"/>
        <v>100</v>
      </c>
      <c r="V46" s="774" t="s">
        <v>20</v>
      </c>
      <c r="W46" s="775">
        <f t="shared" si="14"/>
        <v>100</v>
      </c>
      <c r="X46" s="1816"/>
      <c r="Y46" s="3177"/>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69" t="str">
        <f>A47</f>
        <v>成交单价（元/平方米）</v>
      </c>
      <c r="Q47" s="3169"/>
      <c r="R47" s="3170">
        <f>E47</f>
        <v>0</v>
      </c>
      <c r="S47" s="3170"/>
      <c r="T47" s="3170">
        <f>G47</f>
        <v>0</v>
      </c>
      <c r="U47" s="3170"/>
      <c r="V47" s="3170">
        <f>I47</f>
        <v>0</v>
      </c>
      <c r="W47" s="3170"/>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2099</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2647</v>
      </c>
      <c r="D3" s="399">
        <f>IF(D1="",'数据-汇总表'!E3,SUMIF('数据-汇总表'!$C19:$C33,D1,'数据-汇总表'!$E19:$E33))</f>
        <v>0</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94" t="s">
        <v>2650</v>
      </c>
      <c r="S4" s="3195"/>
      <c r="T4" s="3194" t="s">
        <v>2651</v>
      </c>
      <c r="U4" s="3195"/>
      <c r="V4" s="3200" t="s">
        <v>2652</v>
      </c>
      <c r="W4" s="3200"/>
      <c r="X4" s="1816"/>
      <c r="Y4" s="3194" t="s">
        <v>2654</v>
      </c>
      <c r="Z4" s="3195"/>
      <c r="AA4" s="3181" t="s">
        <v>2650</v>
      </c>
      <c r="AB4" s="3200" t="s">
        <v>2651</v>
      </c>
      <c r="AC4" s="3181" t="s">
        <v>2652</v>
      </c>
    </row>
    <row r="5" spans="1:29" ht="15">
      <c r="A5" s="404"/>
      <c r="B5" s="405"/>
      <c r="C5" s="3203" t="s">
        <v>2545</v>
      </c>
      <c r="D5" s="3204"/>
      <c r="E5" s="3210" t="s">
        <v>2546</v>
      </c>
      <c r="F5" s="3211"/>
      <c r="G5" s="3203" t="s">
        <v>2547</v>
      </c>
      <c r="H5" s="3204"/>
      <c r="I5" s="3203" t="s">
        <v>2548</v>
      </c>
      <c r="J5" s="3204"/>
      <c r="K5" s="610"/>
      <c r="L5" s="1133"/>
      <c r="M5" s="1134"/>
      <c r="N5" s="1134"/>
      <c r="O5" s="1134"/>
      <c r="P5" s="3190"/>
      <c r="Q5" s="3191"/>
      <c r="R5" s="3196"/>
      <c r="S5" s="3197"/>
      <c r="T5" s="3196"/>
      <c r="U5" s="3197"/>
      <c r="V5" s="3200"/>
      <c r="W5" s="3200"/>
      <c r="X5" s="1816"/>
      <c r="Y5" s="3196"/>
      <c r="Z5" s="3197"/>
      <c r="AA5" s="3182"/>
      <c r="AB5" s="3200"/>
      <c r="AC5" s="3182"/>
    </row>
    <row r="6" spans="1:29" ht="15.75" thickBot="1">
      <c r="A6" s="406"/>
      <c r="B6" s="407"/>
      <c r="C6" s="3201" t="s">
        <v>2549</v>
      </c>
      <c r="D6" s="3202"/>
      <c r="E6" s="3208" t="s">
        <v>2549</v>
      </c>
      <c r="F6" s="3209"/>
      <c r="G6" s="3201" t="s">
        <v>2549</v>
      </c>
      <c r="H6" s="3202"/>
      <c r="I6" s="3201" t="s">
        <v>2549</v>
      </c>
      <c r="J6" s="3202"/>
      <c r="K6" s="610" t="s">
        <v>2550</v>
      </c>
      <c r="L6" s="1133"/>
      <c r="M6" s="1134"/>
      <c r="N6" s="1134"/>
      <c r="O6" s="1134"/>
      <c r="P6" s="3192"/>
      <c r="Q6" s="3193"/>
      <c r="R6" s="3196"/>
      <c r="S6" s="3197"/>
      <c r="T6" s="3198"/>
      <c r="U6" s="3199"/>
      <c r="V6" s="3200"/>
      <c r="W6" s="3200"/>
      <c r="X6" s="1816"/>
      <c r="Y6" s="3198"/>
      <c r="Z6" s="3199"/>
      <c r="AA6" s="3183"/>
      <c r="AB6" s="3200"/>
      <c r="AC6" s="3183"/>
    </row>
    <row r="7" spans="1:29" s="117" customFormat="1" ht="15.75" thickBot="1">
      <c r="A7" s="408" t="s">
        <v>2551</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2552</v>
      </c>
      <c r="Q7" s="3207"/>
      <c r="R7" s="770" t="s">
        <v>17</v>
      </c>
      <c r="S7" s="771">
        <f t="shared" ref="S7:S15" si="0">F7</f>
        <v>0</v>
      </c>
      <c r="T7" s="770" t="s">
        <v>17</v>
      </c>
      <c r="U7" s="771">
        <f t="shared" ref="U7:U15" si="1">H7</f>
        <v>0</v>
      </c>
      <c r="V7" s="770" t="s">
        <v>17</v>
      </c>
      <c r="W7" s="771">
        <f t="shared" ref="W7:W15" si="2">J7</f>
        <v>0</v>
      </c>
      <c r="X7" s="772"/>
      <c r="Y7" s="3205" t="s">
        <v>2552</v>
      </c>
      <c r="Z7" s="3206"/>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2555</v>
      </c>
      <c r="Q8" s="3206"/>
      <c r="R8" s="770" t="s">
        <v>17</v>
      </c>
      <c r="S8" s="771">
        <f t="shared" si="0"/>
        <v>0</v>
      </c>
      <c r="T8" s="770" t="s">
        <v>17</v>
      </c>
      <c r="U8" s="771">
        <f t="shared" si="1"/>
        <v>0</v>
      </c>
      <c r="V8" s="770" t="s">
        <v>17</v>
      </c>
      <c r="W8" s="771">
        <f t="shared" si="2"/>
        <v>0</v>
      </c>
      <c r="X8" s="772"/>
      <c r="Y8" s="3205" t="s">
        <v>2555</v>
      </c>
      <c r="Z8" s="3206"/>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0" t="s">
        <v>2558</v>
      </c>
      <c r="Q9" s="1798" t="str">
        <f t="shared" ref="Q9:Q15" si="6">B9</f>
        <v>用途</v>
      </c>
      <c r="R9" s="770" t="s">
        <v>17</v>
      </c>
      <c r="S9" s="771">
        <f t="shared" si="0"/>
        <v>100</v>
      </c>
      <c r="T9" s="770" t="s">
        <v>17</v>
      </c>
      <c r="U9" s="771">
        <f t="shared" si="1"/>
        <v>100</v>
      </c>
      <c r="V9" s="770" t="s">
        <v>17</v>
      </c>
      <c r="W9" s="771">
        <f t="shared" si="2"/>
        <v>100</v>
      </c>
      <c r="X9" s="772"/>
      <c r="Y9" s="299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8" t="s">
        <v>2563</v>
      </c>
      <c r="Q15" s="1813" t="str">
        <f t="shared" si="6"/>
        <v>商业繁华度</v>
      </c>
      <c r="R15" s="774" t="s">
        <v>17</v>
      </c>
      <c r="S15" s="775">
        <f t="shared" si="0"/>
        <v>100</v>
      </c>
      <c r="T15" s="774" t="s">
        <v>17</v>
      </c>
      <c r="U15" s="775">
        <f t="shared" si="1"/>
        <v>100</v>
      </c>
      <c r="V15" s="774" t="s">
        <v>17</v>
      </c>
      <c r="W15" s="775">
        <f t="shared" si="2"/>
        <v>100</v>
      </c>
      <c r="X15" s="1816"/>
      <c r="Y15" s="3171"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9"/>
      <c r="Q16" s="1813"/>
      <c r="R16" s="774"/>
      <c r="S16" s="775"/>
      <c r="T16" s="774"/>
      <c r="U16" s="775"/>
      <c r="V16" s="774"/>
      <c r="W16" s="775"/>
      <c r="X16" s="1816"/>
      <c r="Y16" s="3172"/>
      <c r="Z16" s="1817"/>
      <c r="AA16" s="1814">
        <v>1</v>
      </c>
      <c r="AB16" s="1814">
        <v>1</v>
      </c>
      <c r="AC16" s="1814">
        <v>1</v>
      </c>
    </row>
    <row r="17" spans="1:29" ht="85.5">
      <c r="A17" s="428"/>
      <c r="B17" s="451" t="s">
        <v>2098</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179"/>
      <c r="Q18" s="1813"/>
      <c r="R18" s="774"/>
      <c r="S18" s="775"/>
      <c r="T18" s="774"/>
      <c r="U18" s="775"/>
      <c r="V18" s="774"/>
      <c r="W18" s="775"/>
      <c r="X18" s="1816"/>
      <c r="Y18" s="3172"/>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179"/>
      <c r="Q20" s="1813"/>
      <c r="R20" s="774"/>
      <c r="S20" s="775"/>
      <c r="T20" s="774"/>
      <c r="U20" s="775"/>
      <c r="V20" s="774"/>
      <c r="W20" s="775"/>
      <c r="X20" s="1816"/>
      <c r="Y20" s="3172"/>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179"/>
      <c r="Q22" s="1813"/>
      <c r="R22" s="774"/>
      <c r="S22" s="775"/>
      <c r="T22" s="774"/>
      <c r="U22" s="775"/>
      <c r="V22" s="774"/>
      <c r="W22" s="775"/>
      <c r="X22" s="1816"/>
      <c r="Y22" s="3172"/>
      <c r="Z22" s="1817"/>
      <c r="AA22" s="1814">
        <v>1</v>
      </c>
      <c r="AB22" s="1814">
        <v>1</v>
      </c>
      <c r="AC22" s="1814">
        <v>1</v>
      </c>
    </row>
    <row r="23" spans="1:29" ht="57">
      <c r="A23" s="428"/>
      <c r="B23" s="451" t="s">
        <v>2103</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9"/>
      <c r="Q23" s="1813" t="str">
        <f>B23</f>
        <v>自然及人文环境</v>
      </c>
      <c r="R23" s="774" t="s">
        <v>17</v>
      </c>
      <c r="S23" s="775">
        <f>F23</f>
        <v>100</v>
      </c>
      <c r="T23" s="774" t="s">
        <v>17</v>
      </c>
      <c r="U23" s="775">
        <f>H23</f>
        <v>100</v>
      </c>
      <c r="V23" s="774" t="s">
        <v>17</v>
      </c>
      <c r="W23" s="775">
        <f>J23</f>
        <v>100</v>
      </c>
      <c r="X23" s="1816"/>
      <c r="Y23" s="3172"/>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179"/>
      <c r="Q24" s="1813"/>
      <c r="R24" s="774"/>
      <c r="S24" s="775"/>
      <c r="T24" s="774"/>
      <c r="U24" s="775"/>
      <c r="V24" s="774"/>
      <c r="W24" s="775"/>
      <c r="X24" s="1816"/>
      <c r="Y24" s="3172"/>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9"/>
      <c r="Q25" s="1813" t="str">
        <f t="shared" ref="Q25:Q46" si="11">B25</f>
        <v>临街状况</v>
      </c>
      <c r="R25" s="774" t="s">
        <v>17</v>
      </c>
      <c r="S25" s="775">
        <f>F25</f>
        <v>100</v>
      </c>
      <c r="T25" s="774" t="s">
        <v>17</v>
      </c>
      <c r="U25" s="775">
        <f>H25</f>
        <v>100</v>
      </c>
      <c r="V25" s="774" t="s">
        <v>17</v>
      </c>
      <c r="W25" s="775">
        <f>J25</f>
        <v>100</v>
      </c>
      <c r="X25" s="1816"/>
      <c r="Y25" s="3172"/>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9"/>
      <c r="Q26" s="1813" t="str">
        <f t="shared" si="11"/>
        <v>平面位置/可视性</v>
      </c>
      <c r="R26" s="774" t="s">
        <v>17</v>
      </c>
      <c r="S26" s="775">
        <f>F26</f>
        <v>100</v>
      </c>
      <c r="T26" s="774" t="s">
        <v>17</v>
      </c>
      <c r="U26" s="775">
        <f>H26</f>
        <v>100</v>
      </c>
      <c r="V26" s="774" t="s">
        <v>17</v>
      </c>
      <c r="W26" s="775">
        <f>J26</f>
        <v>100</v>
      </c>
      <c r="X26" s="1816"/>
      <c r="Y26" s="3172"/>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79"/>
      <c r="Q27" s="1798" t="str">
        <f t="shared" si="11"/>
        <v>人流量</v>
      </c>
      <c r="R27" s="770" t="s">
        <v>17</v>
      </c>
      <c r="S27" s="771">
        <f>F27</f>
        <v>100</v>
      </c>
      <c r="T27" s="770" t="s">
        <v>17</v>
      </c>
      <c r="U27" s="771">
        <f>H27</f>
        <v>100</v>
      </c>
      <c r="V27" s="770" t="s">
        <v>17</v>
      </c>
      <c r="W27" s="771">
        <f>J27</f>
        <v>100</v>
      </c>
      <c r="X27" s="772"/>
      <c r="Y27" s="3172"/>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9"/>
      <c r="Q29" s="1813">
        <f t="shared" si="11"/>
        <v>111</v>
      </c>
      <c r="R29" s="774" t="s">
        <v>17</v>
      </c>
      <c r="S29" s="775">
        <f t="shared" si="12"/>
        <v>100</v>
      </c>
      <c r="T29" s="774" t="s">
        <v>17</v>
      </c>
      <c r="U29" s="775">
        <f t="shared" si="13"/>
        <v>100</v>
      </c>
      <c r="V29" s="774" t="s">
        <v>17</v>
      </c>
      <c r="W29" s="775">
        <f t="shared" si="14"/>
        <v>100</v>
      </c>
      <c r="X29" s="1816"/>
      <c r="Y29" s="317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9"/>
      <c r="Q30" s="1813">
        <f t="shared" si="11"/>
        <v>111</v>
      </c>
      <c r="R30" s="774" t="s">
        <v>17</v>
      </c>
      <c r="S30" s="775">
        <f t="shared" si="12"/>
        <v>100</v>
      </c>
      <c r="T30" s="774" t="s">
        <v>17</v>
      </c>
      <c r="U30" s="775">
        <f t="shared" si="13"/>
        <v>100</v>
      </c>
      <c r="V30" s="774" t="s">
        <v>17</v>
      </c>
      <c r="W30" s="775">
        <f t="shared" si="14"/>
        <v>100</v>
      </c>
      <c r="X30" s="1816"/>
      <c r="Y30" s="317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9"/>
      <c r="Q31" s="1813">
        <f t="shared" si="11"/>
        <v>111</v>
      </c>
      <c r="R31" s="774" t="s">
        <v>17</v>
      </c>
      <c r="S31" s="775">
        <f t="shared" si="12"/>
        <v>100</v>
      </c>
      <c r="T31" s="774" t="s">
        <v>17</v>
      </c>
      <c r="U31" s="775">
        <f t="shared" si="13"/>
        <v>100</v>
      </c>
      <c r="V31" s="774" t="s">
        <v>17</v>
      </c>
      <c r="W31" s="775">
        <f t="shared" si="14"/>
        <v>100</v>
      </c>
      <c r="X31" s="1816"/>
      <c r="Y31" s="3172"/>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73" t="s">
        <v>2568</v>
      </c>
      <c r="Q32" s="1813" t="str">
        <f t="shared" si="11"/>
        <v>商业类型</v>
      </c>
      <c r="R32" s="774" t="s">
        <v>17</v>
      </c>
      <c r="S32" s="775">
        <f t="shared" si="12"/>
        <v>100</v>
      </c>
      <c r="T32" s="774" t="s">
        <v>17</v>
      </c>
      <c r="U32" s="775">
        <f t="shared" si="13"/>
        <v>100</v>
      </c>
      <c r="V32" s="774" t="s">
        <v>17</v>
      </c>
      <c r="W32" s="775">
        <f t="shared" si="14"/>
        <v>100</v>
      </c>
      <c r="X32" s="1816"/>
      <c r="Y32" s="3176"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4"/>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74"/>
      <c r="Q34" s="1813" t="str">
        <f t="shared" si="11"/>
        <v>建筑结构</v>
      </c>
      <c r="R34" s="774" t="s">
        <v>17</v>
      </c>
      <c r="S34" s="775">
        <f t="shared" si="12"/>
        <v>100</v>
      </c>
      <c r="T34" s="774" t="s">
        <v>17</v>
      </c>
      <c r="U34" s="775">
        <f t="shared" si="13"/>
        <v>100</v>
      </c>
      <c r="V34" s="774" t="s">
        <v>17</v>
      </c>
      <c r="W34" s="775">
        <f t="shared" si="14"/>
        <v>100</v>
      </c>
      <c r="X34" s="1816"/>
      <c r="Y34" s="3176"/>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74"/>
      <c r="Q35" s="1813" t="str">
        <f t="shared" si="11"/>
        <v>公共部分装修</v>
      </c>
      <c r="R35" s="774" t="s">
        <v>17</v>
      </c>
      <c r="S35" s="775">
        <f t="shared" si="12"/>
        <v>100</v>
      </c>
      <c r="T35" s="774" t="s">
        <v>17</v>
      </c>
      <c r="U35" s="775">
        <f t="shared" si="13"/>
        <v>100</v>
      </c>
      <c r="V35" s="774" t="s">
        <v>17</v>
      </c>
      <c r="W35" s="775">
        <f t="shared" si="14"/>
        <v>100</v>
      </c>
      <c r="X35" s="1816"/>
      <c r="Y35" s="3176"/>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4"/>
      <c r="Q36" s="1813" t="str">
        <f t="shared" si="11"/>
        <v>成新度</v>
      </c>
      <c r="R36" s="774" t="s">
        <v>17</v>
      </c>
      <c r="S36" s="775" t="e">
        <f t="shared" si="12"/>
        <v>#N/A</v>
      </c>
      <c r="T36" s="774" t="s">
        <v>17</v>
      </c>
      <c r="U36" s="775" t="e">
        <f t="shared" si="13"/>
        <v>#N/A</v>
      </c>
      <c r="V36" s="774" t="s">
        <v>17</v>
      </c>
      <c r="W36" s="775" t="e">
        <f t="shared" si="14"/>
        <v>#N/A</v>
      </c>
      <c r="X36" s="1816"/>
      <c r="Y36" s="3176"/>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74"/>
      <c r="Q37" s="1798"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74" t="s">
        <v>2568</v>
      </c>
      <c r="Q38" s="1813" t="str">
        <f t="shared" si="11"/>
        <v>业态</v>
      </c>
      <c r="R38" s="774" t="s">
        <v>17</v>
      </c>
      <c r="S38" s="775">
        <f t="shared" si="12"/>
        <v>100</v>
      </c>
      <c r="T38" s="774" t="s">
        <v>17</v>
      </c>
      <c r="U38" s="775">
        <f t="shared" si="13"/>
        <v>100</v>
      </c>
      <c r="V38" s="774" t="s">
        <v>17</v>
      </c>
      <c r="W38" s="775">
        <f t="shared" si="14"/>
        <v>100</v>
      </c>
      <c r="X38" s="1816"/>
      <c r="Y38" s="3176"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74"/>
      <c r="Q39" s="1813" t="str">
        <f t="shared" si="11"/>
        <v>层高</v>
      </c>
      <c r="R39" s="774" t="s">
        <v>17</v>
      </c>
      <c r="S39" s="775">
        <f t="shared" si="12"/>
        <v>100</v>
      </c>
      <c r="T39" s="774" t="s">
        <v>17</v>
      </c>
      <c r="U39" s="775">
        <f t="shared" si="13"/>
        <v>100</v>
      </c>
      <c r="V39" s="774" t="s">
        <v>17</v>
      </c>
      <c r="W39" s="775">
        <f t="shared" si="14"/>
        <v>100</v>
      </c>
      <c r="X39" s="1816"/>
      <c r="Y39" s="3176"/>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4"/>
      <c r="Q40" s="1813" t="str">
        <f t="shared" si="11"/>
        <v>单套建筑面积</v>
      </c>
      <c r="R40" s="774" t="s">
        <v>17</v>
      </c>
      <c r="S40" s="775">
        <f t="shared" si="12"/>
        <v>100</v>
      </c>
      <c r="T40" s="774" t="s">
        <v>17</v>
      </c>
      <c r="U40" s="775">
        <f t="shared" si="13"/>
        <v>100</v>
      </c>
      <c r="V40" s="774" t="s">
        <v>17</v>
      </c>
      <c r="W40" s="775">
        <f t="shared" si="14"/>
        <v>100</v>
      </c>
      <c r="X40" s="1816"/>
      <c r="Y40" s="3176"/>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74"/>
      <c r="Q42" s="1813" t="str">
        <f t="shared" si="11"/>
        <v>内部装修</v>
      </c>
      <c r="R42" s="774" t="s">
        <v>17</v>
      </c>
      <c r="S42" s="775">
        <f t="shared" si="12"/>
        <v>100</v>
      </c>
      <c r="T42" s="774" t="s">
        <v>17</v>
      </c>
      <c r="U42" s="775">
        <f t="shared" si="13"/>
        <v>100</v>
      </c>
      <c r="V42" s="774" t="s">
        <v>17</v>
      </c>
      <c r="W42" s="775">
        <f t="shared" si="14"/>
        <v>100</v>
      </c>
      <c r="X42" s="1816"/>
      <c r="Y42" s="3176"/>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74"/>
      <c r="Q43" s="1813" t="str">
        <f t="shared" si="11"/>
        <v>内部装修维护情况</v>
      </c>
      <c r="R43" s="774" t="s">
        <v>17</v>
      </c>
      <c r="S43" s="775">
        <f t="shared" si="12"/>
        <v>100</v>
      </c>
      <c r="T43" s="774" t="s">
        <v>17</v>
      </c>
      <c r="U43" s="775">
        <f t="shared" si="13"/>
        <v>100</v>
      </c>
      <c r="V43" s="774" t="s">
        <v>17</v>
      </c>
      <c r="W43" s="775">
        <f t="shared" si="14"/>
        <v>100</v>
      </c>
      <c r="X43" s="1816"/>
      <c r="Y43" s="317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4"/>
      <c r="Q44" s="1798">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4"/>
      <c r="Q45" s="1813">
        <f t="shared" si="11"/>
        <v>111</v>
      </c>
      <c r="R45" s="774" t="s">
        <v>17</v>
      </c>
      <c r="S45" s="775">
        <f t="shared" si="12"/>
        <v>100</v>
      </c>
      <c r="T45" s="774" t="s">
        <v>17</v>
      </c>
      <c r="U45" s="775">
        <f t="shared" si="13"/>
        <v>100</v>
      </c>
      <c r="V45" s="774" t="s">
        <v>17</v>
      </c>
      <c r="W45" s="775">
        <f t="shared" si="14"/>
        <v>100</v>
      </c>
      <c r="X45" s="1816"/>
      <c r="Y45" s="3176"/>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5"/>
      <c r="Q46" s="1813">
        <f t="shared" si="11"/>
        <v>111</v>
      </c>
      <c r="R46" s="774" t="s">
        <v>17</v>
      </c>
      <c r="S46" s="775">
        <f t="shared" si="12"/>
        <v>100</v>
      </c>
      <c r="T46" s="774" t="s">
        <v>17</v>
      </c>
      <c r="U46" s="775">
        <f t="shared" si="13"/>
        <v>100</v>
      </c>
      <c r="V46" s="774" t="s">
        <v>17</v>
      </c>
      <c r="W46" s="775">
        <f t="shared" si="14"/>
        <v>100</v>
      </c>
      <c r="X46" s="1816"/>
      <c r="Y46" s="3177"/>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69" t="str">
        <f>A47</f>
        <v>成交单价（元/平方米）</v>
      </c>
      <c r="Q47" s="3169"/>
      <c r="R47" s="3200">
        <f>E47</f>
        <v>0</v>
      </c>
      <c r="S47" s="3200"/>
      <c r="T47" s="3200">
        <f>G47</f>
        <v>0</v>
      </c>
      <c r="U47" s="3200"/>
      <c r="V47" s="3200">
        <f>I47</f>
        <v>0</v>
      </c>
      <c r="W47" s="3200"/>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0</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218" t="s">
        <v>2654</v>
      </c>
      <c r="Q4" s="3219"/>
      <c r="R4" s="3222" t="s">
        <v>2650</v>
      </c>
      <c r="S4" s="3223"/>
      <c r="T4" s="3222" t="s">
        <v>2651</v>
      </c>
      <c r="U4" s="3223"/>
      <c r="V4" s="3224" t="s">
        <v>2652</v>
      </c>
      <c r="W4" s="3224"/>
      <c r="X4" s="2676"/>
      <c r="Y4" s="3222" t="s">
        <v>2654</v>
      </c>
      <c r="Z4" s="3223"/>
      <c r="AA4" s="3226" t="s">
        <v>2650</v>
      </c>
      <c r="AB4" s="3226" t="s">
        <v>2651</v>
      </c>
      <c r="AC4" s="3215" t="s">
        <v>2652</v>
      </c>
    </row>
    <row r="5" spans="1:29" ht="15">
      <c r="A5" s="404"/>
      <c r="B5" s="405"/>
      <c r="C5" s="3203" t="s">
        <v>2545</v>
      </c>
      <c r="D5" s="3204"/>
      <c r="E5" s="3210" t="s">
        <v>2546</v>
      </c>
      <c r="F5" s="3211"/>
      <c r="G5" s="3203" t="s">
        <v>2547</v>
      </c>
      <c r="H5" s="3204"/>
      <c r="I5" s="3203" t="s">
        <v>2548</v>
      </c>
      <c r="J5" s="3204"/>
      <c r="K5" s="610"/>
      <c r="L5" s="1133"/>
      <c r="M5" s="1134"/>
      <c r="N5" s="1134"/>
      <c r="O5" s="1134"/>
      <c r="P5" s="3220"/>
      <c r="Q5" s="3191"/>
      <c r="R5" s="3196"/>
      <c r="S5" s="3197"/>
      <c r="T5" s="3196"/>
      <c r="U5" s="3197"/>
      <c r="V5" s="3200"/>
      <c r="W5" s="3200"/>
      <c r="X5" s="1816"/>
      <c r="Y5" s="3196"/>
      <c r="Z5" s="3197"/>
      <c r="AA5" s="3182"/>
      <c r="AB5" s="3182"/>
      <c r="AC5" s="3216"/>
    </row>
    <row r="6" spans="1:29" ht="15.75" thickBot="1">
      <c r="A6" s="406"/>
      <c r="B6" s="407"/>
      <c r="C6" s="3201" t="s">
        <v>2549</v>
      </c>
      <c r="D6" s="3202"/>
      <c r="E6" s="3208" t="s">
        <v>2549</v>
      </c>
      <c r="F6" s="3209"/>
      <c r="G6" s="3201" t="s">
        <v>2549</v>
      </c>
      <c r="H6" s="3202"/>
      <c r="I6" s="3201" t="s">
        <v>2549</v>
      </c>
      <c r="J6" s="3202"/>
      <c r="K6" s="610" t="s">
        <v>2550</v>
      </c>
      <c r="L6" s="1133"/>
      <c r="M6" s="1134"/>
      <c r="N6" s="1134"/>
      <c r="O6" s="1134"/>
      <c r="P6" s="3221"/>
      <c r="Q6" s="3193"/>
      <c r="R6" s="3196"/>
      <c r="S6" s="3197"/>
      <c r="T6" s="3198"/>
      <c r="U6" s="3199"/>
      <c r="V6" s="3200"/>
      <c r="W6" s="3200"/>
      <c r="X6" s="1816"/>
      <c r="Y6" s="3198"/>
      <c r="Z6" s="3199"/>
      <c r="AA6" s="3183"/>
      <c r="AB6" s="3183"/>
      <c r="AC6" s="3217"/>
    </row>
    <row r="7" spans="1:29" s="117" customFormat="1" ht="15.75" thickBot="1">
      <c r="A7" s="408" t="s">
        <v>2551</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5" t="s">
        <v>2552</v>
      </c>
      <c r="Q7" s="3207"/>
      <c r="R7" s="770" t="s">
        <v>17</v>
      </c>
      <c r="S7" s="771">
        <f t="shared" ref="S7:S15" si="0">F7</f>
        <v>0</v>
      </c>
      <c r="T7" s="770" t="s">
        <v>17</v>
      </c>
      <c r="U7" s="771">
        <f t="shared" ref="U7:U15" si="1">H7</f>
        <v>0</v>
      </c>
      <c r="V7" s="770" t="s">
        <v>17</v>
      </c>
      <c r="W7" s="771">
        <f t="shared" ref="W7:W15" si="2">J7</f>
        <v>0</v>
      </c>
      <c r="X7" s="772"/>
      <c r="Y7" s="3205" t="s">
        <v>2552</v>
      </c>
      <c r="Z7" s="3206"/>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5" t="s">
        <v>2555</v>
      </c>
      <c r="Q8" s="3206"/>
      <c r="R8" s="770" t="s">
        <v>17</v>
      </c>
      <c r="S8" s="771">
        <f t="shared" si="0"/>
        <v>0</v>
      </c>
      <c r="T8" s="770" t="s">
        <v>17</v>
      </c>
      <c r="U8" s="771">
        <f t="shared" si="1"/>
        <v>0</v>
      </c>
      <c r="V8" s="770" t="s">
        <v>17</v>
      </c>
      <c r="W8" s="771">
        <f t="shared" si="2"/>
        <v>0</v>
      </c>
      <c r="X8" s="772"/>
      <c r="Y8" s="3205" t="s">
        <v>2555</v>
      </c>
      <c r="Z8" s="3206"/>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0" t="s">
        <v>2558</v>
      </c>
      <c r="Q9" s="1798" t="str">
        <f t="shared" ref="Q9:Q15" si="6">B9</f>
        <v>用途</v>
      </c>
      <c r="R9" s="770" t="s">
        <v>17</v>
      </c>
      <c r="S9" s="771">
        <f t="shared" si="0"/>
        <v>100</v>
      </c>
      <c r="T9" s="770" t="s">
        <v>17</v>
      </c>
      <c r="U9" s="771">
        <f t="shared" si="1"/>
        <v>100</v>
      </c>
      <c r="V9" s="770" t="s">
        <v>17</v>
      </c>
      <c r="W9" s="771">
        <f t="shared" si="2"/>
        <v>100</v>
      </c>
      <c r="X9" s="772"/>
      <c r="Y9" s="2994"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0"/>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80"/>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8" t="s">
        <v>2563</v>
      </c>
      <c r="Q15" s="1813" t="str">
        <f t="shared" si="6"/>
        <v>办公集聚程度</v>
      </c>
      <c r="R15" s="774" t="s">
        <v>17</v>
      </c>
      <c r="S15" s="775">
        <f t="shared" si="0"/>
        <v>100</v>
      </c>
      <c r="T15" s="774" t="s">
        <v>17</v>
      </c>
      <c r="U15" s="775">
        <f t="shared" si="1"/>
        <v>100</v>
      </c>
      <c r="V15" s="774" t="s">
        <v>17</v>
      </c>
      <c r="W15" s="775">
        <f t="shared" si="2"/>
        <v>100</v>
      </c>
      <c r="X15" s="1816"/>
      <c r="Y15" s="3171"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179"/>
      <c r="Q16" s="1813"/>
      <c r="R16" s="774"/>
      <c r="S16" s="775"/>
      <c r="T16" s="774"/>
      <c r="U16" s="775"/>
      <c r="V16" s="774"/>
      <c r="W16" s="775"/>
      <c r="X16" s="1816"/>
      <c r="Y16" s="3172"/>
      <c r="Z16" s="1817"/>
      <c r="AA16" s="1814">
        <v>1</v>
      </c>
      <c r="AB16" s="1814">
        <v>1</v>
      </c>
      <c r="AC16" s="2680">
        <v>1</v>
      </c>
    </row>
    <row r="17" spans="1:29" ht="71.25">
      <c r="A17" s="428"/>
      <c r="B17" s="631" t="s">
        <v>2098</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179"/>
      <c r="Q18" s="1813"/>
      <c r="R18" s="774"/>
      <c r="S18" s="775"/>
      <c r="T18" s="774"/>
      <c r="U18" s="775"/>
      <c r="V18" s="774"/>
      <c r="W18" s="775"/>
      <c r="X18" s="1816"/>
      <c r="Y18" s="3172"/>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179"/>
      <c r="Q20" s="1813"/>
      <c r="R20" s="774"/>
      <c r="S20" s="775"/>
      <c r="T20" s="774"/>
      <c r="U20" s="775"/>
      <c r="V20" s="774"/>
      <c r="W20" s="775"/>
      <c r="X20" s="1816"/>
      <c r="Y20" s="3172"/>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179"/>
      <c r="Q22" s="1813"/>
      <c r="R22" s="774"/>
      <c r="S22" s="775"/>
      <c r="T22" s="774"/>
      <c r="U22" s="775"/>
      <c r="V22" s="774"/>
      <c r="W22" s="775"/>
      <c r="X22" s="1816"/>
      <c r="Y22" s="3172"/>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9"/>
      <c r="Q23" s="1813" t="str">
        <f>B23</f>
        <v>环境质量</v>
      </c>
      <c r="R23" s="774" t="s">
        <v>17</v>
      </c>
      <c r="S23" s="775">
        <f>F23</f>
        <v>100</v>
      </c>
      <c r="T23" s="774" t="s">
        <v>17</v>
      </c>
      <c r="U23" s="775">
        <f>H23</f>
        <v>100</v>
      </c>
      <c r="V23" s="774" t="s">
        <v>17</v>
      </c>
      <c r="W23" s="775">
        <f>J23</f>
        <v>100</v>
      </c>
      <c r="X23" s="1816"/>
      <c r="Y23" s="3172"/>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179"/>
      <c r="Q24" s="1813"/>
      <c r="R24" s="774"/>
      <c r="S24" s="775"/>
      <c r="T24" s="774"/>
      <c r="U24" s="775"/>
      <c r="V24" s="774"/>
      <c r="W24" s="775"/>
      <c r="X24" s="1816"/>
      <c r="Y24" s="3172"/>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179"/>
      <c r="Q25" s="1813" t="str">
        <f>B25</f>
        <v>毗邻道路的类型与等级</v>
      </c>
      <c r="R25" s="774" t="s">
        <v>17</v>
      </c>
      <c r="S25" s="775">
        <f>F25</f>
        <v>100</v>
      </c>
      <c r="T25" s="774" t="s">
        <v>17</v>
      </c>
      <c r="U25" s="775">
        <f>H25</f>
        <v>100</v>
      </c>
      <c r="V25" s="774" t="s">
        <v>17</v>
      </c>
      <c r="W25" s="775">
        <f>J25</f>
        <v>100</v>
      </c>
      <c r="X25" s="1816"/>
      <c r="Y25" s="3172"/>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79"/>
      <c r="Q26" s="1813"/>
      <c r="R26" s="774"/>
      <c r="S26" s="775"/>
      <c r="T26" s="774"/>
      <c r="U26" s="775"/>
      <c r="V26" s="774"/>
      <c r="W26" s="775"/>
      <c r="X26" s="1816"/>
      <c r="Y26" s="3172"/>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9"/>
      <c r="Q27" s="1813" t="str">
        <f t="shared" ref="Q27:Q47" si="11">B27</f>
        <v>楼层</v>
      </c>
      <c r="R27" s="774" t="s">
        <v>17</v>
      </c>
      <c r="S27" s="775">
        <f>F27</f>
        <v>100</v>
      </c>
      <c r="T27" s="774" t="s">
        <v>17</v>
      </c>
      <c r="U27" s="775">
        <f>H27</f>
        <v>100</v>
      </c>
      <c r="V27" s="774" t="s">
        <v>17</v>
      </c>
      <c r="W27" s="775">
        <f>J27</f>
        <v>100</v>
      </c>
      <c r="X27" s="1816"/>
      <c r="Y27" s="3172"/>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79"/>
      <c r="Q28" s="1798" t="str">
        <f t="shared" si="11"/>
        <v>朝向</v>
      </c>
      <c r="R28" s="770" t="s">
        <v>17</v>
      </c>
      <c r="S28" s="771">
        <f>F28</f>
        <v>100</v>
      </c>
      <c r="T28" s="770" t="s">
        <v>17</v>
      </c>
      <c r="U28" s="771">
        <f>H28</f>
        <v>100</v>
      </c>
      <c r="V28" s="770" t="s">
        <v>17</v>
      </c>
      <c r="W28" s="771">
        <f>J28</f>
        <v>100</v>
      </c>
      <c r="X28" s="772"/>
      <c r="Y28" s="3172"/>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79"/>
      <c r="Q29" s="1813">
        <f t="shared" si="11"/>
        <v>111</v>
      </c>
      <c r="R29" s="774" t="s">
        <v>17</v>
      </c>
      <c r="S29" s="775">
        <f t="shared" ref="S29:S47" si="12">F29</f>
        <v>100</v>
      </c>
      <c r="T29" s="774" t="s">
        <v>17</v>
      </c>
      <c r="U29" s="775">
        <f t="shared" ref="U29:U47" si="13">H29</f>
        <v>100</v>
      </c>
      <c r="V29" s="774" t="s">
        <v>17</v>
      </c>
      <c r="W29" s="775">
        <f t="shared" ref="W29:W47" si="14">J29</f>
        <v>100</v>
      </c>
      <c r="X29" s="1816"/>
      <c r="Y29" s="3172"/>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79"/>
      <c r="Q30" s="1813">
        <f t="shared" si="11"/>
        <v>111</v>
      </c>
      <c r="R30" s="774" t="s">
        <v>17</v>
      </c>
      <c r="S30" s="775">
        <f t="shared" si="12"/>
        <v>100</v>
      </c>
      <c r="T30" s="774" t="s">
        <v>17</v>
      </c>
      <c r="U30" s="775">
        <f t="shared" si="13"/>
        <v>100</v>
      </c>
      <c r="V30" s="774" t="s">
        <v>17</v>
      </c>
      <c r="W30" s="775">
        <f t="shared" si="14"/>
        <v>100</v>
      </c>
      <c r="X30" s="1816"/>
      <c r="Y30" s="3172"/>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79"/>
      <c r="Q31" s="1813">
        <f t="shared" si="11"/>
        <v>111</v>
      </c>
      <c r="R31" s="774" t="s">
        <v>17</v>
      </c>
      <c r="S31" s="775">
        <f t="shared" si="12"/>
        <v>100</v>
      </c>
      <c r="T31" s="774" t="s">
        <v>17</v>
      </c>
      <c r="U31" s="775">
        <f t="shared" si="13"/>
        <v>100</v>
      </c>
      <c r="V31" s="774" t="s">
        <v>17</v>
      </c>
      <c r="W31" s="775">
        <f t="shared" si="14"/>
        <v>100</v>
      </c>
      <c r="X31" s="1816"/>
      <c r="Y31" s="3172"/>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79"/>
      <c r="Q32" s="1813">
        <f t="shared" si="11"/>
        <v>111</v>
      </c>
      <c r="R32" s="774" t="s">
        <v>17</v>
      </c>
      <c r="S32" s="775">
        <f t="shared" si="12"/>
        <v>100</v>
      </c>
      <c r="T32" s="774" t="s">
        <v>17</v>
      </c>
      <c r="U32" s="775">
        <f t="shared" si="13"/>
        <v>100</v>
      </c>
      <c r="V32" s="774" t="s">
        <v>17</v>
      </c>
      <c r="W32" s="775">
        <f t="shared" si="14"/>
        <v>100</v>
      </c>
      <c r="X32" s="1816"/>
      <c r="Y32" s="3172"/>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73" t="s">
        <v>2568</v>
      </c>
      <c r="Q33" s="1813" t="str">
        <f t="shared" si="11"/>
        <v>建筑类型</v>
      </c>
      <c r="R33" s="774" t="s">
        <v>17</v>
      </c>
      <c r="S33" s="775">
        <f t="shared" si="12"/>
        <v>100</v>
      </c>
      <c r="T33" s="774" t="s">
        <v>17</v>
      </c>
      <c r="U33" s="775">
        <f t="shared" si="13"/>
        <v>100</v>
      </c>
      <c r="V33" s="774" t="s">
        <v>17</v>
      </c>
      <c r="W33" s="775">
        <f t="shared" si="14"/>
        <v>100</v>
      </c>
      <c r="X33" s="1816"/>
      <c r="Y33" s="3176"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4"/>
      <c r="Q35" s="1813" t="str">
        <f t="shared" si="11"/>
        <v>建筑结构</v>
      </c>
      <c r="R35" s="774" t="s">
        <v>17</v>
      </c>
      <c r="S35" s="775">
        <f t="shared" si="12"/>
        <v>100</v>
      </c>
      <c r="T35" s="774" t="s">
        <v>17</v>
      </c>
      <c r="U35" s="775">
        <f t="shared" si="13"/>
        <v>100</v>
      </c>
      <c r="V35" s="774" t="s">
        <v>17</v>
      </c>
      <c r="W35" s="775">
        <f t="shared" si="14"/>
        <v>100</v>
      </c>
      <c r="X35" s="1816"/>
      <c r="Y35" s="3176"/>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4"/>
      <c r="Q36" s="1813" t="str">
        <f t="shared" si="11"/>
        <v>公共部分装修</v>
      </c>
      <c r="R36" s="774" t="s">
        <v>17</v>
      </c>
      <c r="S36" s="775">
        <f t="shared" si="12"/>
        <v>100</v>
      </c>
      <c r="T36" s="774" t="s">
        <v>17</v>
      </c>
      <c r="U36" s="775">
        <f t="shared" si="13"/>
        <v>100</v>
      </c>
      <c r="V36" s="774" t="s">
        <v>17</v>
      </c>
      <c r="W36" s="775">
        <f t="shared" si="14"/>
        <v>100</v>
      </c>
      <c r="X36" s="1816"/>
      <c r="Y36" s="3176"/>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4"/>
      <c r="Q37" s="1813" t="str">
        <f t="shared" si="11"/>
        <v>成新度</v>
      </c>
      <c r="R37" s="774" t="s">
        <v>17</v>
      </c>
      <c r="S37" s="775" t="e">
        <f t="shared" si="12"/>
        <v>#N/A</v>
      </c>
      <c r="T37" s="774" t="s">
        <v>17</v>
      </c>
      <c r="U37" s="775" t="e">
        <f t="shared" si="13"/>
        <v>#N/A</v>
      </c>
      <c r="V37" s="774" t="s">
        <v>17</v>
      </c>
      <c r="W37" s="775" t="e">
        <f t="shared" si="14"/>
        <v>#N/A</v>
      </c>
      <c r="X37" s="1816"/>
      <c r="Y37" s="3176"/>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4"/>
      <c r="Q38" s="1798"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4" t="s">
        <v>2568</v>
      </c>
      <c r="Q39" s="1813" t="str">
        <f t="shared" si="11"/>
        <v>物业管理</v>
      </c>
      <c r="R39" s="774" t="s">
        <v>17</v>
      </c>
      <c r="S39" s="775">
        <f t="shared" si="12"/>
        <v>100</v>
      </c>
      <c r="T39" s="774" t="s">
        <v>17</v>
      </c>
      <c r="U39" s="775">
        <f t="shared" si="13"/>
        <v>100</v>
      </c>
      <c r="V39" s="774" t="s">
        <v>17</v>
      </c>
      <c r="W39" s="775">
        <f t="shared" si="14"/>
        <v>100</v>
      </c>
      <c r="X39" s="1816"/>
      <c r="Y39" s="3176"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4"/>
      <c r="Q40" s="1813" t="str">
        <f t="shared" si="11"/>
        <v>市政基础设施</v>
      </c>
      <c r="R40" s="774" t="s">
        <v>17</v>
      </c>
      <c r="S40" s="775">
        <f t="shared" si="12"/>
        <v>100</v>
      </c>
      <c r="T40" s="774" t="s">
        <v>17</v>
      </c>
      <c r="U40" s="775">
        <f t="shared" si="13"/>
        <v>100</v>
      </c>
      <c r="V40" s="774" t="s">
        <v>17</v>
      </c>
      <c r="W40" s="775">
        <f t="shared" si="14"/>
        <v>100</v>
      </c>
      <c r="X40" s="1816"/>
      <c r="Y40" s="3176"/>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4"/>
      <c r="Q41" s="1813" t="str">
        <f t="shared" si="11"/>
        <v>层高</v>
      </c>
      <c r="R41" s="774" t="s">
        <v>17</v>
      </c>
      <c r="S41" s="775">
        <f t="shared" si="12"/>
        <v>100</v>
      </c>
      <c r="T41" s="774" t="s">
        <v>17</v>
      </c>
      <c r="U41" s="775">
        <f t="shared" si="13"/>
        <v>100</v>
      </c>
      <c r="V41" s="774" t="s">
        <v>17</v>
      </c>
      <c r="W41" s="775">
        <f t="shared" si="14"/>
        <v>100</v>
      </c>
      <c r="X41" s="1816"/>
      <c r="Y41" s="3176"/>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4"/>
      <c r="Q43" s="1813" t="str">
        <f t="shared" si="11"/>
        <v>内部装修</v>
      </c>
      <c r="R43" s="774" t="s">
        <v>17</v>
      </c>
      <c r="S43" s="775">
        <f t="shared" si="12"/>
        <v>100</v>
      </c>
      <c r="T43" s="774" t="s">
        <v>17</v>
      </c>
      <c r="U43" s="775">
        <f t="shared" si="13"/>
        <v>100</v>
      </c>
      <c r="V43" s="774" t="s">
        <v>17</v>
      </c>
      <c r="W43" s="775">
        <f t="shared" si="14"/>
        <v>100</v>
      </c>
      <c r="X43" s="1816"/>
      <c r="Y43" s="3176"/>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74"/>
      <c r="Q44" s="1813" t="str">
        <f t="shared" si="11"/>
        <v>内部装修维护情况</v>
      </c>
      <c r="R44" s="774" t="s">
        <v>17</v>
      </c>
      <c r="S44" s="775">
        <f t="shared" si="12"/>
        <v>100</v>
      </c>
      <c r="T44" s="774" t="s">
        <v>17</v>
      </c>
      <c r="U44" s="775">
        <f t="shared" si="13"/>
        <v>100</v>
      </c>
      <c r="V44" s="774" t="s">
        <v>17</v>
      </c>
      <c r="W44" s="775">
        <f t="shared" si="14"/>
        <v>100</v>
      </c>
      <c r="X44" s="1816"/>
      <c r="Y44" s="3176"/>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4"/>
      <c r="Q45" s="1798">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4"/>
      <c r="Q46" s="1813">
        <f t="shared" si="11"/>
        <v>111</v>
      </c>
      <c r="R46" s="774" t="s">
        <v>17</v>
      </c>
      <c r="S46" s="775">
        <f t="shared" si="12"/>
        <v>100</v>
      </c>
      <c r="T46" s="774" t="s">
        <v>17</v>
      </c>
      <c r="U46" s="775">
        <f t="shared" si="13"/>
        <v>100</v>
      </c>
      <c r="V46" s="774" t="s">
        <v>17</v>
      </c>
      <c r="W46" s="775">
        <f t="shared" si="14"/>
        <v>100</v>
      </c>
      <c r="X46" s="1816"/>
      <c r="Y46" s="3176"/>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5"/>
      <c r="Q47" s="1813">
        <f t="shared" si="11"/>
        <v>111</v>
      </c>
      <c r="R47" s="774" t="s">
        <v>17</v>
      </c>
      <c r="S47" s="775">
        <f t="shared" si="12"/>
        <v>100</v>
      </c>
      <c r="T47" s="774" t="s">
        <v>17</v>
      </c>
      <c r="U47" s="775">
        <f t="shared" si="13"/>
        <v>100</v>
      </c>
      <c r="V47" s="774" t="s">
        <v>17</v>
      </c>
      <c r="W47" s="775">
        <f t="shared" si="14"/>
        <v>100</v>
      </c>
      <c r="X47" s="1816"/>
      <c r="Y47" s="3177"/>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80" t="str">
        <f>A48</f>
        <v>成交单价（元/平方米）</v>
      </c>
      <c r="Q48" s="3169"/>
      <c r="R48" s="3170">
        <f>E48</f>
        <v>0</v>
      </c>
      <c r="S48" s="3170"/>
      <c r="T48" s="3170">
        <f>G48</f>
        <v>0</v>
      </c>
      <c r="U48" s="3170"/>
      <c r="V48" s="3170">
        <f>I48</f>
        <v>0</v>
      </c>
      <c r="W48" s="3170"/>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80"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12" t="str">
        <f>A50</f>
        <v>估价对象XX用房的比较价值（楼面单价，元/平方米）</v>
      </c>
      <c r="Q50" s="3213"/>
      <c r="R50" s="3214" t="e">
        <f>IF(F1="售价",ROUND(AVERAGE(R49:V49),0),ROUND(AVERAGE(R49:V49),1))</f>
        <v>#DIV/0!</v>
      </c>
      <c r="S50" s="3214"/>
      <c r="T50" s="3214"/>
      <c r="U50" s="3214"/>
      <c r="V50" s="3214"/>
      <c r="W50" s="321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94" t="s">
        <v>2650</v>
      </c>
      <c r="S4" s="3195"/>
      <c r="T4" s="3194" t="s">
        <v>2651</v>
      </c>
      <c r="U4" s="3195"/>
      <c r="V4" s="3200" t="s">
        <v>2652</v>
      </c>
      <c r="W4" s="3200"/>
      <c r="X4" s="1816"/>
      <c r="Y4" s="3194" t="s">
        <v>2654</v>
      </c>
      <c r="Z4" s="3195"/>
      <c r="AA4" s="3181" t="s">
        <v>2650</v>
      </c>
      <c r="AB4" s="3182" t="s">
        <v>2651</v>
      </c>
      <c r="AC4" s="3181" t="s">
        <v>2652</v>
      </c>
    </row>
    <row r="5" spans="1:29" ht="15">
      <c r="A5" s="404"/>
      <c r="B5" s="405"/>
      <c r="C5" s="3203" t="s">
        <v>2545</v>
      </c>
      <c r="D5" s="3204"/>
      <c r="E5" s="3210" t="s">
        <v>2546</v>
      </c>
      <c r="F5" s="3211"/>
      <c r="G5" s="3203" t="s">
        <v>2547</v>
      </c>
      <c r="H5" s="3204"/>
      <c r="I5" s="3203" t="s">
        <v>2548</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2549</v>
      </c>
      <c r="D6" s="3202"/>
      <c r="E6" s="3208" t="s">
        <v>2549</v>
      </c>
      <c r="F6" s="3209"/>
      <c r="G6" s="3201" t="s">
        <v>2549</v>
      </c>
      <c r="H6" s="3202"/>
      <c r="I6" s="3201" t="s">
        <v>2549</v>
      </c>
      <c r="J6" s="3202"/>
      <c r="K6" s="610" t="s">
        <v>2550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2551</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2552</v>
      </c>
      <c r="Q7" s="3207"/>
      <c r="R7" s="770" t="s">
        <v>17</v>
      </c>
      <c r="S7" s="771">
        <f t="shared" ref="S7:S15" si="0">F7</f>
        <v>0</v>
      </c>
      <c r="T7" s="770" t="s">
        <v>17</v>
      </c>
      <c r="U7" s="771">
        <f t="shared" ref="U7:U15" si="1">H7</f>
        <v>0</v>
      </c>
      <c r="V7" s="770" t="s">
        <v>17</v>
      </c>
      <c r="W7" s="771">
        <f t="shared" ref="W7:W15" si="2">J7</f>
        <v>0</v>
      </c>
      <c r="X7" s="772"/>
      <c r="Y7" s="3205" t="s">
        <v>2552</v>
      </c>
      <c r="Z7" s="3206"/>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2555</v>
      </c>
      <c r="Q8" s="3206"/>
      <c r="R8" s="770" t="s">
        <v>17</v>
      </c>
      <c r="S8" s="771">
        <f t="shared" si="0"/>
        <v>0</v>
      </c>
      <c r="T8" s="770" t="s">
        <v>17</v>
      </c>
      <c r="U8" s="771">
        <f t="shared" si="1"/>
        <v>0</v>
      </c>
      <c r="V8" s="770" t="s">
        <v>17</v>
      </c>
      <c r="W8" s="771">
        <f t="shared" si="2"/>
        <v>0</v>
      </c>
      <c r="X8" s="772"/>
      <c r="Y8" s="3205" t="s">
        <v>2555</v>
      </c>
      <c r="Z8" s="3206"/>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9" t="s">
        <v>2558</v>
      </c>
      <c r="Q9" s="1798" t="str">
        <f t="shared" ref="Q9:Q15" si="6">B9</f>
        <v>用途</v>
      </c>
      <c r="R9" s="770" t="s">
        <v>17</v>
      </c>
      <c r="S9" s="771">
        <f t="shared" si="0"/>
        <v>100</v>
      </c>
      <c r="T9" s="770" t="s">
        <v>17</v>
      </c>
      <c r="U9" s="771">
        <f t="shared" si="1"/>
        <v>100</v>
      </c>
      <c r="V9" s="770" t="s">
        <v>17</v>
      </c>
      <c r="W9" s="771">
        <f t="shared" si="2"/>
        <v>100</v>
      </c>
      <c r="X9" s="772"/>
      <c r="Y9" s="2994"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1" t="s">
        <v>2563</v>
      </c>
      <c r="Q15" s="1813" t="str">
        <f t="shared" si="6"/>
        <v>产业集聚程度</v>
      </c>
      <c r="R15" s="774" t="s">
        <v>17</v>
      </c>
      <c r="S15" s="775">
        <f t="shared" si="0"/>
        <v>100</v>
      </c>
      <c r="T15" s="774" t="s">
        <v>17</v>
      </c>
      <c r="U15" s="775">
        <f t="shared" si="1"/>
        <v>100</v>
      </c>
      <c r="V15" s="774" t="s">
        <v>17</v>
      </c>
      <c r="W15" s="775">
        <f t="shared" si="2"/>
        <v>100</v>
      </c>
      <c r="X15" s="1816"/>
      <c r="Y15" s="3171"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2"/>
      <c r="Q16" s="1813"/>
      <c r="R16" s="774"/>
      <c r="S16" s="775"/>
      <c r="T16" s="774"/>
      <c r="U16" s="775"/>
      <c r="V16" s="774"/>
      <c r="W16" s="775"/>
      <c r="X16" s="1816"/>
      <c r="Y16" s="3172"/>
      <c r="Z16" s="1817"/>
      <c r="AA16" s="1814">
        <v>1</v>
      </c>
      <c r="AB16" s="1814">
        <v>1</v>
      </c>
      <c r="AC16" s="1814">
        <v>1</v>
      </c>
    </row>
    <row r="17" spans="1:29" ht="85.5">
      <c r="A17" s="428"/>
      <c r="B17" s="451" t="s">
        <v>2098</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2"/>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2"/>
      <c r="Q18" s="1813"/>
      <c r="R18" s="774"/>
      <c r="S18" s="775"/>
      <c r="T18" s="774"/>
      <c r="U18" s="775"/>
      <c r="V18" s="774"/>
      <c r="W18" s="775"/>
      <c r="X18" s="1816"/>
      <c r="Y18" s="3172"/>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2"/>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2"/>
      <c r="Q20" s="1813"/>
      <c r="R20" s="774"/>
      <c r="S20" s="775"/>
      <c r="T20" s="774"/>
      <c r="U20" s="775"/>
      <c r="V20" s="774"/>
      <c r="W20" s="775"/>
      <c r="X20" s="1816"/>
      <c r="Y20" s="3172"/>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2"/>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2"/>
      <c r="Q22" s="1813"/>
      <c r="R22" s="774"/>
      <c r="S22" s="775"/>
      <c r="T22" s="774"/>
      <c r="U22" s="775"/>
      <c r="V22" s="774"/>
      <c r="W22" s="775"/>
      <c r="X22" s="1816"/>
      <c r="Y22" s="3172"/>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2"/>
      <c r="Q23" s="1813" t="str">
        <f>B23</f>
        <v>环境质量</v>
      </c>
      <c r="R23" s="774" t="s">
        <v>17</v>
      </c>
      <c r="S23" s="775">
        <f>F23</f>
        <v>100</v>
      </c>
      <c r="T23" s="774" t="s">
        <v>17</v>
      </c>
      <c r="U23" s="775">
        <f>H23</f>
        <v>100</v>
      </c>
      <c r="V23" s="774" t="s">
        <v>17</v>
      </c>
      <c r="W23" s="775">
        <f>J23</f>
        <v>100</v>
      </c>
      <c r="X23" s="1816"/>
      <c r="Y23" s="3172"/>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2"/>
      <c r="Q24" s="1813"/>
      <c r="R24" s="774"/>
      <c r="S24" s="775"/>
      <c r="T24" s="774"/>
      <c r="U24" s="775"/>
      <c r="V24" s="774"/>
      <c r="W24" s="775"/>
      <c r="X24" s="1816"/>
      <c r="Y24" s="317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2"/>
      <c r="Q25" s="1813">
        <f>B25</f>
        <v>111</v>
      </c>
      <c r="R25" s="774" t="s">
        <v>17</v>
      </c>
      <c r="S25" s="775">
        <f>F25</f>
        <v>100</v>
      </c>
      <c r="T25" s="774" t="s">
        <v>17</v>
      </c>
      <c r="U25" s="775">
        <f>H25</f>
        <v>100</v>
      </c>
      <c r="V25" s="774" t="s">
        <v>17</v>
      </c>
      <c r="W25" s="775">
        <f>J25</f>
        <v>100</v>
      </c>
      <c r="X25" s="1816"/>
      <c r="Y25" s="317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2"/>
      <c r="Q26" s="1813">
        <f t="shared" ref="Q26:Q40" si="11">B26</f>
        <v>111</v>
      </c>
      <c r="R26" s="774" t="s">
        <v>17</v>
      </c>
      <c r="S26" s="775">
        <f>F26</f>
        <v>100</v>
      </c>
      <c r="T26" s="774" t="s">
        <v>17</v>
      </c>
      <c r="U26" s="775">
        <f>H26</f>
        <v>100</v>
      </c>
      <c r="V26" s="774" t="s">
        <v>17</v>
      </c>
      <c r="W26" s="775">
        <f>J26</f>
        <v>100</v>
      </c>
      <c r="X26" s="1816"/>
      <c r="Y26" s="317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2"/>
      <c r="Q27" s="1798">
        <f t="shared" si="11"/>
        <v>111</v>
      </c>
      <c r="R27" s="770" t="s">
        <v>17</v>
      </c>
      <c r="S27" s="771">
        <f>F27</f>
        <v>100</v>
      </c>
      <c r="T27" s="770" t="s">
        <v>17</v>
      </c>
      <c r="U27" s="771">
        <f>H27</f>
        <v>100</v>
      </c>
      <c r="V27" s="770" t="s">
        <v>17</v>
      </c>
      <c r="W27" s="771">
        <f>J27</f>
        <v>100</v>
      </c>
      <c r="X27" s="772"/>
      <c r="Y27" s="317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2"/>
      <c r="Q28" s="1813">
        <f t="shared" si="11"/>
        <v>111</v>
      </c>
      <c r="R28" s="774" t="s">
        <v>17</v>
      </c>
      <c r="S28" s="775">
        <f t="shared" ref="S28:S40" si="12">F28</f>
        <v>100</v>
      </c>
      <c r="T28" s="774" t="s">
        <v>17</v>
      </c>
      <c r="U28" s="775">
        <f t="shared" ref="U28:U40" si="13">H28</f>
        <v>100</v>
      </c>
      <c r="V28" s="774" t="s">
        <v>17</v>
      </c>
      <c r="W28" s="775">
        <f t="shared" ref="W28:W40" si="14">J28</f>
        <v>100</v>
      </c>
      <c r="X28" s="1816"/>
      <c r="Y28" s="3172"/>
      <c r="Z28" s="1817">
        <f t="shared" ref="Z28:Z40" si="15">Q28</f>
        <v>111</v>
      </c>
      <c r="AA28" s="1814">
        <f t="shared" si="3"/>
        <v>1</v>
      </c>
      <c r="AB28" s="1814">
        <f t="shared" si="4"/>
        <v>1</v>
      </c>
      <c r="AC28" s="1814">
        <f t="shared" si="5"/>
        <v>1</v>
      </c>
    </row>
    <row r="29" spans="1:29" ht="29.2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27" t="s">
        <v>2568</v>
      </c>
      <c r="Q29" s="1813" t="str">
        <f t="shared" si="11"/>
        <v>建筑类型</v>
      </c>
      <c r="R29" s="774" t="s">
        <v>17</v>
      </c>
      <c r="S29" s="775">
        <f t="shared" si="12"/>
        <v>100</v>
      </c>
      <c r="T29" s="774" t="s">
        <v>17</v>
      </c>
      <c r="U29" s="775">
        <f t="shared" si="13"/>
        <v>100</v>
      </c>
      <c r="V29" s="774" t="s">
        <v>17</v>
      </c>
      <c r="W29" s="775">
        <f t="shared" si="14"/>
        <v>100</v>
      </c>
      <c r="X29" s="1816"/>
      <c r="Y29" s="3176"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6"/>
      <c r="Q31" s="1813" t="str">
        <f t="shared" si="11"/>
        <v>建筑结构</v>
      </c>
      <c r="R31" s="774" t="s">
        <v>17</v>
      </c>
      <c r="S31" s="775">
        <f t="shared" si="12"/>
        <v>100</v>
      </c>
      <c r="T31" s="774" t="s">
        <v>17</v>
      </c>
      <c r="U31" s="775">
        <f t="shared" si="13"/>
        <v>100</v>
      </c>
      <c r="V31" s="774" t="s">
        <v>17</v>
      </c>
      <c r="W31" s="775">
        <f t="shared" si="14"/>
        <v>100</v>
      </c>
      <c r="X31" s="1816"/>
      <c r="Y31" s="3176"/>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6"/>
      <c r="Q32" s="1813" t="str">
        <f t="shared" si="11"/>
        <v>公共部分装修</v>
      </c>
      <c r="R32" s="774" t="s">
        <v>17</v>
      </c>
      <c r="S32" s="775">
        <f t="shared" si="12"/>
        <v>100</v>
      </c>
      <c r="T32" s="774" t="s">
        <v>17</v>
      </c>
      <c r="U32" s="775">
        <f t="shared" si="13"/>
        <v>100</v>
      </c>
      <c r="V32" s="774" t="s">
        <v>17</v>
      </c>
      <c r="W32" s="775">
        <f t="shared" si="14"/>
        <v>100</v>
      </c>
      <c r="X32" s="1816"/>
      <c r="Y32" s="3176"/>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6"/>
      <c r="Q33" s="1813" t="str">
        <f t="shared" si="11"/>
        <v>成新度</v>
      </c>
      <c r="R33" s="774" t="s">
        <v>17</v>
      </c>
      <c r="S33" s="775" t="e">
        <f t="shared" si="12"/>
        <v>#N/A</v>
      </c>
      <c r="T33" s="774" t="s">
        <v>17</v>
      </c>
      <c r="U33" s="775" t="e">
        <f t="shared" si="13"/>
        <v>#N/A</v>
      </c>
      <c r="V33" s="774" t="s">
        <v>17</v>
      </c>
      <c r="W33" s="775" t="e">
        <f t="shared" si="14"/>
        <v>#N/A</v>
      </c>
      <c r="X33" s="1816"/>
      <c r="Y33" s="3176"/>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6"/>
      <c r="Q34" s="1798"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6" t="s">
        <v>2568</v>
      </c>
      <c r="Q35" s="1813" t="str">
        <f t="shared" si="11"/>
        <v>市政基础设施</v>
      </c>
      <c r="R35" s="774" t="s">
        <v>17</v>
      </c>
      <c r="S35" s="775">
        <f t="shared" si="12"/>
        <v>100</v>
      </c>
      <c r="T35" s="774" t="s">
        <v>17</v>
      </c>
      <c r="U35" s="775">
        <f t="shared" si="13"/>
        <v>100</v>
      </c>
      <c r="V35" s="774" t="s">
        <v>17</v>
      </c>
      <c r="W35" s="775">
        <f t="shared" si="14"/>
        <v>100</v>
      </c>
      <c r="X35" s="1816"/>
      <c r="Y35" s="3176"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6"/>
      <c r="Q36" s="1813" t="str">
        <f t="shared" si="11"/>
        <v>内部装修</v>
      </c>
      <c r="R36" s="774" t="s">
        <v>17</v>
      </c>
      <c r="S36" s="775">
        <f t="shared" si="12"/>
        <v>100</v>
      </c>
      <c r="T36" s="774" t="s">
        <v>17</v>
      </c>
      <c r="U36" s="775">
        <f t="shared" si="13"/>
        <v>100</v>
      </c>
      <c r="V36" s="774" t="s">
        <v>17</v>
      </c>
      <c r="W36" s="775">
        <f t="shared" si="14"/>
        <v>100</v>
      </c>
      <c r="X36" s="1816"/>
      <c r="Y36" s="3176"/>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6"/>
      <c r="Q37" s="1813" t="str">
        <f t="shared" si="11"/>
        <v>内部装修状况</v>
      </c>
      <c r="R37" s="774" t="s">
        <v>17</v>
      </c>
      <c r="S37" s="775">
        <f t="shared" si="12"/>
        <v>100</v>
      </c>
      <c r="T37" s="774" t="s">
        <v>17</v>
      </c>
      <c r="U37" s="775">
        <f t="shared" si="13"/>
        <v>100</v>
      </c>
      <c r="V37" s="774" t="s">
        <v>17</v>
      </c>
      <c r="W37" s="775">
        <f t="shared" si="14"/>
        <v>100</v>
      </c>
      <c r="X37" s="1816"/>
      <c r="Y37" s="317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6"/>
      <c r="Q39" s="1813">
        <f t="shared" si="11"/>
        <v>111</v>
      </c>
      <c r="R39" s="774" t="s">
        <v>17</v>
      </c>
      <c r="S39" s="775">
        <f t="shared" si="12"/>
        <v>100</v>
      </c>
      <c r="T39" s="774" t="s">
        <v>17</v>
      </c>
      <c r="U39" s="775">
        <f t="shared" si="13"/>
        <v>100</v>
      </c>
      <c r="V39" s="774" t="s">
        <v>17</v>
      </c>
      <c r="W39" s="775">
        <f t="shared" si="14"/>
        <v>100</v>
      </c>
      <c r="X39" s="1816"/>
      <c r="Y39" s="3176"/>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7"/>
      <c r="Q40" s="1813">
        <f t="shared" si="11"/>
        <v>111</v>
      </c>
      <c r="R40" s="774" t="s">
        <v>17</v>
      </c>
      <c r="S40" s="775">
        <f t="shared" si="12"/>
        <v>100</v>
      </c>
      <c r="T40" s="774" t="s">
        <v>17</v>
      </c>
      <c r="U40" s="775">
        <f t="shared" si="13"/>
        <v>100</v>
      </c>
      <c r="V40" s="774" t="s">
        <v>17</v>
      </c>
      <c r="W40" s="775">
        <f t="shared" si="14"/>
        <v>100</v>
      </c>
      <c r="X40" s="1816"/>
      <c r="Y40" s="3177"/>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66" t="str">
        <f>A43</f>
        <v>估价对象XX用房的比较价值（楼面单价，元/平方米）</v>
      </c>
      <c r="Q43" s="3167"/>
      <c r="R43" s="3168" t="e">
        <f>IF(F1="售价",ROUND(AVERAGE(R42:V42),0),ROUND(AVERAGE(R42:V42),1))</f>
        <v>#DIV/0!</v>
      </c>
      <c r="S43" s="3168"/>
      <c r="T43" s="3168"/>
      <c r="U43" s="3168"/>
      <c r="V43" s="3168"/>
      <c r="W43" s="316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受贵公司委托，我公司对北京市红领巾公园南侧建设项目出让国有建设用地使用权及在建建筑物房地产抵押价值进行了预评估。</v>
      </c>
    </row>
    <row r="5" spans="1:1" ht="18.75">
      <c r="A5" s="1952" t="s">
        <v>1608</v>
      </c>
    </row>
    <row r="6" spans="1:1" ht="18.75">
      <c r="A6" s="1953" t="s">
        <v>1609</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估价对象为北京市红领巾公园南侧建设项目出让国有建设用地使用权及在建建筑物房地产，为所有。根据《国有土地使用证》[]，估价对象（分摊）出让国有建设用地使用权面积为0平方米，建筑面积为0平方米。</v>
      </c>
    </row>
    <row r="8" spans="1:1" ht="57.75">
      <c r="A8" s="1954" t="s">
        <v>1610</v>
      </c>
    </row>
    <row r="9" spans="1:1" ht="18.75">
      <c r="A9" s="1953" t="s">
        <v>1611</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红领巾公园南侧建设项目出让国有建设用地使用权及在建建筑物房地产,属开发建设的，该项目尚在开发建设中。根据《国有土地使用证》[]，估价对象（分摊）出让国有建设用地使用权面积为0平方米，规划建筑面积为0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2018年12月31日（评估专业人员实地查勘之日）</v>
      </c>
    </row>
    <row r="16" spans="1:1" ht="18.75">
      <c r="A16" s="1956" t="s">
        <v>1615</v>
      </c>
    </row>
    <row r="17" spans="1:1" ht="75">
      <c r="A17" s="1951" t="s">
        <v>1616</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本次估价的“房地产价值”是指在正常市场情况下，在价值时点2018年12月31日，估价对象规划用途为，土地取得方式为划拨，假定未设立法定优先受偿款下的房地产市场价值。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本次评估采用的主估价方法为基准地价系数修正法和基准地价系数修正法。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94" t="s">
        <v>2650</v>
      </c>
      <c r="S4" s="3195"/>
      <c r="T4" s="3194" t="s">
        <v>2651</v>
      </c>
      <c r="U4" s="3195"/>
      <c r="V4" s="3200" t="s">
        <v>2652</v>
      </c>
      <c r="W4" s="3200"/>
      <c r="X4" s="1816"/>
      <c r="Y4" s="3194" t="s">
        <v>2654</v>
      </c>
      <c r="Z4" s="3195"/>
      <c r="AA4" s="3181" t="s">
        <v>2650</v>
      </c>
      <c r="AB4" s="3182" t="s">
        <v>2651</v>
      </c>
      <c r="AC4" s="3181" t="s">
        <v>2652</v>
      </c>
    </row>
    <row r="5" spans="1:29" ht="15">
      <c r="A5" s="404"/>
      <c r="B5" s="405"/>
      <c r="C5" s="3203" t="s">
        <v>2545</v>
      </c>
      <c r="D5" s="3204"/>
      <c r="E5" s="3210" t="s">
        <v>2546</v>
      </c>
      <c r="F5" s="3211"/>
      <c r="G5" s="3203" t="s">
        <v>2547</v>
      </c>
      <c r="H5" s="3204"/>
      <c r="I5" s="3203" t="s">
        <v>2548</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2549</v>
      </c>
      <c r="D6" s="3202"/>
      <c r="E6" s="3208" t="s">
        <v>2549</v>
      </c>
      <c r="F6" s="3209"/>
      <c r="G6" s="3201" t="s">
        <v>2549</v>
      </c>
      <c r="H6" s="3202"/>
      <c r="I6" s="3201" t="s">
        <v>2549</v>
      </c>
      <c r="J6" s="3202"/>
      <c r="K6" s="610" t="s">
        <v>2550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2551</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2552</v>
      </c>
      <c r="Q7" s="3207"/>
      <c r="R7" s="770" t="s">
        <v>17</v>
      </c>
      <c r="S7" s="771">
        <f t="shared" ref="S7:S14" si="0">F7</f>
        <v>0</v>
      </c>
      <c r="T7" s="770" t="s">
        <v>17</v>
      </c>
      <c r="U7" s="771">
        <f t="shared" ref="U7:U14" si="1">H7</f>
        <v>0</v>
      </c>
      <c r="V7" s="770" t="s">
        <v>17</v>
      </c>
      <c r="W7" s="771">
        <f t="shared" ref="W7:W14" si="2">J7</f>
        <v>0</v>
      </c>
      <c r="X7" s="772"/>
      <c r="Y7" s="3205" t="s">
        <v>2552</v>
      </c>
      <c r="Z7" s="3206"/>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2555</v>
      </c>
      <c r="Q8" s="3206"/>
      <c r="R8" s="770" t="s">
        <v>17</v>
      </c>
      <c r="S8" s="771">
        <f t="shared" si="0"/>
        <v>0</v>
      </c>
      <c r="T8" s="770" t="s">
        <v>17</v>
      </c>
      <c r="U8" s="771">
        <f t="shared" si="1"/>
        <v>0</v>
      </c>
      <c r="V8" s="770" t="s">
        <v>17</v>
      </c>
      <c r="W8" s="771">
        <f t="shared" si="2"/>
        <v>0</v>
      </c>
      <c r="X8" s="772"/>
      <c r="Y8" s="3205" t="s">
        <v>2555</v>
      </c>
      <c r="Z8" s="3206"/>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9" t="s">
        <v>2558</v>
      </c>
      <c r="Q9" s="1798" t="str">
        <f t="shared" ref="Q9:Q14" si="6">B9</f>
        <v>用途</v>
      </c>
      <c r="R9" s="770" t="s">
        <v>17</v>
      </c>
      <c r="S9" s="771">
        <f t="shared" si="0"/>
        <v>100</v>
      </c>
      <c r="T9" s="770" t="s">
        <v>17</v>
      </c>
      <c r="U9" s="771">
        <f t="shared" si="1"/>
        <v>100</v>
      </c>
      <c r="V9" s="770" t="s">
        <v>17</v>
      </c>
      <c r="W9" s="771">
        <f t="shared" si="2"/>
        <v>100</v>
      </c>
      <c r="X9" s="772"/>
      <c r="Y9" s="2994"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1" t="s">
        <v>2563</v>
      </c>
      <c r="Q14" s="1813" t="str">
        <f t="shared" si="6"/>
        <v>交通便捷度</v>
      </c>
      <c r="R14" s="774" t="s">
        <v>17</v>
      </c>
      <c r="S14" s="775">
        <f t="shared" si="0"/>
        <v>100</v>
      </c>
      <c r="T14" s="774" t="s">
        <v>17</v>
      </c>
      <c r="U14" s="775">
        <f t="shared" si="1"/>
        <v>100</v>
      </c>
      <c r="V14" s="774" t="s">
        <v>17</v>
      </c>
      <c r="W14" s="775">
        <f t="shared" si="2"/>
        <v>100</v>
      </c>
      <c r="X14" s="1816"/>
      <c r="Y14" s="3171"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2"/>
      <c r="Q15" s="1813"/>
      <c r="R15" s="774"/>
      <c r="S15" s="775"/>
      <c r="T15" s="774"/>
      <c r="U15" s="775"/>
      <c r="V15" s="774"/>
      <c r="W15" s="775"/>
      <c r="X15" s="1816"/>
      <c r="Y15" s="3172"/>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2"/>
      <c r="Q16" s="1813" t="str">
        <f>B16</f>
        <v>公共配套设施</v>
      </c>
      <c r="R16" s="774" t="s">
        <v>17</v>
      </c>
      <c r="S16" s="775">
        <f>F16</f>
        <v>100</v>
      </c>
      <c r="T16" s="774" t="s">
        <v>17</v>
      </c>
      <c r="U16" s="775">
        <f>H16</f>
        <v>100</v>
      </c>
      <c r="V16" s="774" t="s">
        <v>17</v>
      </c>
      <c r="W16" s="775">
        <f>J16</f>
        <v>100</v>
      </c>
      <c r="X16" s="1816"/>
      <c r="Y16" s="3172"/>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2"/>
      <c r="Q17" s="1813"/>
      <c r="R17" s="774"/>
      <c r="S17" s="775"/>
      <c r="T17" s="774"/>
      <c r="U17" s="775"/>
      <c r="V17" s="774"/>
      <c r="W17" s="775"/>
      <c r="X17" s="1816"/>
      <c r="Y17" s="3172"/>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2"/>
      <c r="Q18" s="1813" t="str">
        <f>B18</f>
        <v>基础设施水平</v>
      </c>
      <c r="R18" s="774" t="s">
        <v>17</v>
      </c>
      <c r="S18" s="775">
        <f>F18</f>
        <v>100</v>
      </c>
      <c r="T18" s="774" t="s">
        <v>17</v>
      </c>
      <c r="U18" s="775">
        <f>H18</f>
        <v>100</v>
      </c>
      <c r="V18" s="774" t="s">
        <v>17</v>
      </c>
      <c r="W18" s="775">
        <f>J18</f>
        <v>100</v>
      </c>
      <c r="X18" s="1816"/>
      <c r="Y18" s="3172"/>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2"/>
      <c r="Q19" s="1813"/>
      <c r="R19" s="774"/>
      <c r="S19" s="775"/>
      <c r="T19" s="774"/>
      <c r="U19" s="775"/>
      <c r="V19" s="774"/>
      <c r="W19" s="775"/>
      <c r="X19" s="1816"/>
      <c r="Y19" s="3172"/>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2"/>
      <c r="Q20" s="1813" t="str">
        <f>B20</f>
        <v>自然及人文环境</v>
      </c>
      <c r="R20" s="774" t="s">
        <v>17</v>
      </c>
      <c r="S20" s="775">
        <f>F20</f>
        <v>100</v>
      </c>
      <c r="T20" s="774" t="s">
        <v>17</v>
      </c>
      <c r="U20" s="775">
        <f>H20</f>
        <v>100</v>
      </c>
      <c r="V20" s="774" t="s">
        <v>17</v>
      </c>
      <c r="W20" s="775">
        <f>J20</f>
        <v>100</v>
      </c>
      <c r="X20" s="1816"/>
      <c r="Y20" s="317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2"/>
      <c r="Q21" s="1813"/>
      <c r="R21" s="774"/>
      <c r="S21" s="775"/>
      <c r="T21" s="774"/>
      <c r="U21" s="775"/>
      <c r="V21" s="774"/>
      <c r="W21" s="775"/>
      <c r="X21" s="1816"/>
      <c r="Y21" s="3172"/>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2"/>
      <c r="Q22" s="1813" t="str">
        <f>B22</f>
        <v>楼层</v>
      </c>
      <c r="R22" s="774" t="s">
        <v>17</v>
      </c>
      <c r="S22" s="775">
        <f>F22</f>
        <v>100</v>
      </c>
      <c r="T22" s="774" t="s">
        <v>17</v>
      </c>
      <c r="U22" s="775">
        <f>H22</f>
        <v>100</v>
      </c>
      <c r="V22" s="774" t="s">
        <v>17</v>
      </c>
      <c r="W22" s="775">
        <f>J22</f>
        <v>100</v>
      </c>
      <c r="X22" s="1816"/>
      <c r="Y22" s="317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2"/>
      <c r="Q23" s="1813">
        <f>B23</f>
        <v>111</v>
      </c>
      <c r="R23" s="774" t="s">
        <v>17</v>
      </c>
      <c r="S23" s="775">
        <f>F23</f>
        <v>100</v>
      </c>
      <c r="T23" s="774" t="s">
        <v>17</v>
      </c>
      <c r="U23" s="775">
        <f>H23</f>
        <v>100</v>
      </c>
      <c r="V23" s="774" t="s">
        <v>17</v>
      </c>
      <c r="W23" s="775">
        <f>J23</f>
        <v>100</v>
      </c>
      <c r="X23" s="1816"/>
      <c r="Y23" s="317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2"/>
      <c r="Q24" s="1813">
        <f t="shared" ref="Q24:Q36" si="11">B24</f>
        <v>111</v>
      </c>
      <c r="R24" s="774" t="s">
        <v>17</v>
      </c>
      <c r="S24" s="775">
        <f>F24</f>
        <v>100</v>
      </c>
      <c r="T24" s="774" t="s">
        <v>17</v>
      </c>
      <c r="U24" s="775">
        <f>H24</f>
        <v>100</v>
      </c>
      <c r="V24" s="774" t="s">
        <v>17</v>
      </c>
      <c r="W24" s="775">
        <f>J24</f>
        <v>100</v>
      </c>
      <c r="X24" s="1816"/>
      <c r="Y24" s="317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2"/>
      <c r="Q25" s="1798">
        <f t="shared" si="11"/>
        <v>111</v>
      </c>
      <c r="R25" s="770" t="s">
        <v>17</v>
      </c>
      <c r="S25" s="771">
        <f>F25</f>
        <v>100</v>
      </c>
      <c r="T25" s="770" t="s">
        <v>17</v>
      </c>
      <c r="U25" s="771">
        <f>H25</f>
        <v>100</v>
      </c>
      <c r="V25" s="770" t="s">
        <v>17</v>
      </c>
      <c r="W25" s="771">
        <f>J25</f>
        <v>100</v>
      </c>
      <c r="X25" s="772"/>
      <c r="Y25" s="3172"/>
      <c r="Z25" s="55">
        <f>Q25</f>
        <v>111</v>
      </c>
      <c r="AA25" s="1814">
        <f>D25/F25</f>
        <v>1</v>
      </c>
      <c r="AB25" s="1814">
        <f>D25/H25</f>
        <v>1</v>
      </c>
      <c r="AC25" s="1814">
        <f>D25/J25</f>
        <v>1</v>
      </c>
    </row>
    <row r="26" spans="1:29" ht="29.2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7"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6"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6"/>
      <c r="Q28" s="1813" t="str">
        <f t="shared" si="11"/>
        <v>公共部分装修</v>
      </c>
      <c r="R28" s="774" t="s">
        <v>17</v>
      </c>
      <c r="S28" s="775">
        <f t="shared" si="12"/>
        <v>100</v>
      </c>
      <c r="T28" s="774" t="s">
        <v>17</v>
      </c>
      <c r="U28" s="775">
        <f t="shared" si="13"/>
        <v>100</v>
      </c>
      <c r="V28" s="774" t="s">
        <v>17</v>
      </c>
      <c r="W28" s="775">
        <f t="shared" si="14"/>
        <v>100</v>
      </c>
      <c r="X28" s="1816"/>
      <c r="Y28" s="3176"/>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6"/>
      <c r="Q29" s="1813" t="str">
        <f t="shared" si="11"/>
        <v>成新率</v>
      </c>
      <c r="R29" s="774" t="s">
        <v>17</v>
      </c>
      <c r="S29" s="775" t="e">
        <f t="shared" si="12"/>
        <v>#N/A</v>
      </c>
      <c r="T29" s="774" t="s">
        <v>17</v>
      </c>
      <c r="U29" s="775" t="e">
        <f t="shared" si="13"/>
        <v>#N/A</v>
      </c>
      <c r="V29" s="774" t="s">
        <v>17</v>
      </c>
      <c r="W29" s="775" t="e">
        <f t="shared" si="14"/>
        <v>#N/A</v>
      </c>
      <c r="X29" s="1816"/>
      <c r="Y29" s="3176"/>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6"/>
      <c r="Q30" s="1813" t="str">
        <f t="shared" si="11"/>
        <v>物业等级</v>
      </c>
      <c r="R30" s="774" t="s">
        <v>17</v>
      </c>
      <c r="S30" s="775">
        <f t="shared" si="12"/>
        <v>100</v>
      </c>
      <c r="T30" s="774" t="s">
        <v>17</v>
      </c>
      <c r="U30" s="775">
        <f t="shared" si="13"/>
        <v>100</v>
      </c>
      <c r="V30" s="774" t="s">
        <v>17</v>
      </c>
      <c r="W30" s="775">
        <f t="shared" si="14"/>
        <v>100</v>
      </c>
      <c r="X30" s="1816"/>
      <c r="Y30" s="3176"/>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6"/>
      <c r="Q31" s="1798"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6" t="s">
        <v>2568</v>
      </c>
      <c r="Q32" s="1813" t="str">
        <f t="shared" si="11"/>
        <v>车位类型</v>
      </c>
      <c r="R32" s="774" t="s">
        <v>17</v>
      </c>
      <c r="S32" s="775">
        <f t="shared" si="12"/>
        <v>100</v>
      </c>
      <c r="T32" s="774" t="s">
        <v>17</v>
      </c>
      <c r="U32" s="775">
        <f t="shared" si="13"/>
        <v>100</v>
      </c>
      <c r="V32" s="774" t="s">
        <v>17</v>
      </c>
      <c r="W32" s="775">
        <f t="shared" si="14"/>
        <v>100</v>
      </c>
      <c r="X32" s="1816"/>
      <c r="Y32" s="3176"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6"/>
      <c r="Q33" s="1813" t="str">
        <f t="shared" si="11"/>
        <v>是否直接入户</v>
      </c>
      <c r="R33" s="774" t="s">
        <v>17</v>
      </c>
      <c r="S33" s="775">
        <f t="shared" si="12"/>
        <v>100</v>
      </c>
      <c r="T33" s="774" t="s">
        <v>17</v>
      </c>
      <c r="U33" s="775">
        <f t="shared" si="13"/>
        <v>100</v>
      </c>
      <c r="V33" s="774" t="s">
        <v>17</v>
      </c>
      <c r="W33" s="775">
        <f t="shared" si="14"/>
        <v>100</v>
      </c>
      <c r="X33" s="1816"/>
      <c r="Y33" s="317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6"/>
      <c r="Q34" s="1813">
        <f t="shared" si="11"/>
        <v>111</v>
      </c>
      <c r="R34" s="774" t="s">
        <v>17</v>
      </c>
      <c r="S34" s="775">
        <f t="shared" si="12"/>
        <v>100</v>
      </c>
      <c r="T34" s="774" t="s">
        <v>17</v>
      </c>
      <c r="U34" s="775">
        <f t="shared" si="13"/>
        <v>100</v>
      </c>
      <c r="V34" s="774" t="s">
        <v>17</v>
      </c>
      <c r="W34" s="775">
        <f t="shared" si="14"/>
        <v>100</v>
      </c>
      <c r="X34" s="1816"/>
      <c r="Y34" s="317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6"/>
      <c r="Q36" s="1813">
        <f t="shared" si="11"/>
        <v>111</v>
      </c>
      <c r="R36" s="774" t="s">
        <v>17</v>
      </c>
      <c r="S36" s="775">
        <f t="shared" si="12"/>
        <v>100</v>
      </c>
      <c r="T36" s="774" t="s">
        <v>17</v>
      </c>
      <c r="U36" s="775">
        <f t="shared" si="13"/>
        <v>100</v>
      </c>
      <c r="V36" s="774" t="s">
        <v>17</v>
      </c>
      <c r="W36" s="775">
        <f t="shared" si="14"/>
        <v>100</v>
      </c>
      <c r="X36" s="1816"/>
      <c r="Y36" s="3176"/>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66" t="str">
        <f>A39</f>
        <v>估价对象XX用房的比较价值（楼面单价，元/平方米）</v>
      </c>
      <c r="Q39" s="3167"/>
      <c r="R39" s="3168" t="e">
        <f>IF(F1="售价",ROUND(AVERAGE(R38:V38),0),ROUND(AVERAGE(R38:V38),1))</f>
        <v>#DIV/0!</v>
      </c>
      <c r="S39" s="3168"/>
      <c r="T39" s="3168"/>
      <c r="U39" s="3168"/>
      <c r="V39" s="3168"/>
      <c r="W39" s="316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94" t="s">
        <v>2650</v>
      </c>
      <c r="S4" s="3195"/>
      <c r="T4" s="3194" t="s">
        <v>2651</v>
      </c>
      <c r="U4" s="3195"/>
      <c r="V4" s="3200" t="s">
        <v>2652</v>
      </c>
      <c r="W4" s="3200"/>
      <c r="X4" s="1816"/>
      <c r="Y4" s="3194" t="s">
        <v>2654</v>
      </c>
      <c r="Z4" s="3195"/>
      <c r="AA4" s="3181" t="s">
        <v>2650</v>
      </c>
      <c r="AB4" s="3182" t="s">
        <v>2651</v>
      </c>
      <c r="AC4" s="3181" t="s">
        <v>2652</v>
      </c>
    </row>
    <row r="5" spans="1:29" ht="15">
      <c r="A5" s="404"/>
      <c r="B5" s="405"/>
      <c r="C5" s="3203" t="s">
        <v>2545</v>
      </c>
      <c r="D5" s="3204"/>
      <c r="E5" s="3210" t="s">
        <v>2546</v>
      </c>
      <c r="F5" s="3211"/>
      <c r="G5" s="3203" t="s">
        <v>2547</v>
      </c>
      <c r="H5" s="3204"/>
      <c r="I5" s="3203" t="s">
        <v>2548</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01" t="s">
        <v>2549</v>
      </c>
      <c r="D6" s="3202"/>
      <c r="E6" s="3208" t="s">
        <v>2549</v>
      </c>
      <c r="F6" s="3209"/>
      <c r="G6" s="3201" t="s">
        <v>2549</v>
      </c>
      <c r="H6" s="3202"/>
      <c r="I6" s="3201" t="s">
        <v>2549</v>
      </c>
      <c r="J6" s="3202"/>
      <c r="K6" s="610" t="s">
        <v>2550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2551</v>
      </c>
      <c r="B7" s="409"/>
      <c r="C7" s="410">
        <f>'数据-取费表'!B2</f>
        <v>43465</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5" t="s">
        <v>2552</v>
      </c>
      <c r="Q7" s="3207"/>
      <c r="R7" s="770" t="s">
        <v>17</v>
      </c>
      <c r="S7" s="771">
        <f t="shared" ref="S7:S14" si="0">F7</f>
        <v>0</v>
      </c>
      <c r="T7" s="770" t="s">
        <v>17</v>
      </c>
      <c r="U7" s="771">
        <f t="shared" ref="U7:U14" si="1">H7</f>
        <v>0</v>
      </c>
      <c r="V7" s="770" t="s">
        <v>17</v>
      </c>
      <c r="W7" s="771">
        <f t="shared" ref="W7:W14" si="2">J7</f>
        <v>0</v>
      </c>
      <c r="X7" s="772"/>
      <c r="Y7" s="3205" t="s">
        <v>2552</v>
      </c>
      <c r="Z7" s="3206"/>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2555</v>
      </c>
      <c r="Q8" s="3206"/>
      <c r="R8" s="770" t="s">
        <v>17</v>
      </c>
      <c r="S8" s="771">
        <f t="shared" si="0"/>
        <v>0</v>
      </c>
      <c r="T8" s="770" t="s">
        <v>17</v>
      </c>
      <c r="U8" s="771">
        <f t="shared" si="1"/>
        <v>0</v>
      </c>
      <c r="V8" s="770" t="s">
        <v>17</v>
      </c>
      <c r="W8" s="771">
        <f t="shared" si="2"/>
        <v>0</v>
      </c>
      <c r="X8" s="772"/>
      <c r="Y8" s="3205" t="s">
        <v>2555</v>
      </c>
      <c r="Z8" s="3206"/>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9" t="s">
        <v>2558</v>
      </c>
      <c r="Q9" s="1798" t="str">
        <f t="shared" ref="Q9:Q14" si="6">B9</f>
        <v>用途</v>
      </c>
      <c r="R9" s="770" t="s">
        <v>17</v>
      </c>
      <c r="S9" s="771">
        <f t="shared" si="0"/>
        <v>100</v>
      </c>
      <c r="T9" s="770" t="s">
        <v>17</v>
      </c>
      <c r="U9" s="771">
        <f t="shared" si="1"/>
        <v>100</v>
      </c>
      <c r="V9" s="770" t="s">
        <v>17</v>
      </c>
      <c r="W9" s="771">
        <f t="shared" si="2"/>
        <v>100</v>
      </c>
      <c r="X9" s="772"/>
      <c r="Y9" s="2994"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9"/>
      <c r="Q10" s="1798" t="str">
        <f t="shared" si="6"/>
        <v>土地使用年限（年）</v>
      </c>
      <c r="R10" s="770" t="s">
        <v>17</v>
      </c>
      <c r="S10" s="771">
        <f t="shared" si="0"/>
        <v>100</v>
      </c>
      <c r="T10" s="770" t="s">
        <v>17</v>
      </c>
      <c r="U10" s="771">
        <f t="shared" si="1"/>
        <v>100</v>
      </c>
      <c r="V10" s="770" t="s">
        <v>17</v>
      </c>
      <c r="W10" s="771">
        <f t="shared" si="2"/>
        <v>100</v>
      </c>
      <c r="X10" s="772"/>
      <c r="Y10" s="299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9"/>
      <c r="Q11" s="1798">
        <f t="shared" si="6"/>
        <v>111</v>
      </c>
      <c r="R11" s="770" t="s">
        <v>17</v>
      </c>
      <c r="S11" s="771">
        <f t="shared" si="0"/>
        <v>100</v>
      </c>
      <c r="T11" s="770" t="s">
        <v>17</v>
      </c>
      <c r="U11" s="771">
        <f t="shared" si="1"/>
        <v>100</v>
      </c>
      <c r="V11" s="770" t="s">
        <v>17</v>
      </c>
      <c r="W11" s="771">
        <f t="shared" si="2"/>
        <v>100</v>
      </c>
      <c r="X11" s="772"/>
      <c r="Y11" s="299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1" t="s">
        <v>2563</v>
      </c>
      <c r="Q14" s="1813" t="str">
        <f t="shared" si="6"/>
        <v>交通便捷度</v>
      </c>
      <c r="R14" s="774" t="s">
        <v>17</v>
      </c>
      <c r="S14" s="775">
        <f t="shared" si="0"/>
        <v>100</v>
      </c>
      <c r="T14" s="774" t="s">
        <v>17</v>
      </c>
      <c r="U14" s="775">
        <f t="shared" si="1"/>
        <v>100</v>
      </c>
      <c r="V14" s="774" t="s">
        <v>17</v>
      </c>
      <c r="W14" s="775">
        <f t="shared" si="2"/>
        <v>100</v>
      </c>
      <c r="X14" s="1816"/>
      <c r="Y14" s="3171"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2"/>
      <c r="Q15" s="1813"/>
      <c r="R15" s="774"/>
      <c r="S15" s="775"/>
      <c r="T15" s="774"/>
      <c r="U15" s="775"/>
      <c r="V15" s="774"/>
      <c r="W15" s="775"/>
      <c r="X15" s="1816"/>
      <c r="Y15" s="3172"/>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2"/>
      <c r="Q16" s="1813" t="str">
        <f>B16</f>
        <v>公共配套设施</v>
      </c>
      <c r="R16" s="774" t="s">
        <v>17</v>
      </c>
      <c r="S16" s="775">
        <f>F16</f>
        <v>100</v>
      </c>
      <c r="T16" s="774" t="s">
        <v>17</v>
      </c>
      <c r="U16" s="775">
        <f>H16</f>
        <v>100</v>
      </c>
      <c r="V16" s="774" t="s">
        <v>17</v>
      </c>
      <c r="W16" s="775">
        <f>J16</f>
        <v>100</v>
      </c>
      <c r="X16" s="1816"/>
      <c r="Y16" s="3172"/>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2"/>
      <c r="Q17" s="1813"/>
      <c r="R17" s="774"/>
      <c r="S17" s="775"/>
      <c r="T17" s="774"/>
      <c r="U17" s="775"/>
      <c r="V17" s="774"/>
      <c r="W17" s="775"/>
      <c r="X17" s="1816"/>
      <c r="Y17" s="3172"/>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2"/>
      <c r="Q18" s="1813" t="str">
        <f>B18</f>
        <v>基础设施水平</v>
      </c>
      <c r="R18" s="774" t="s">
        <v>17</v>
      </c>
      <c r="S18" s="775">
        <f>F18</f>
        <v>100</v>
      </c>
      <c r="T18" s="774" t="s">
        <v>17</v>
      </c>
      <c r="U18" s="775">
        <f>H18</f>
        <v>100</v>
      </c>
      <c r="V18" s="774" t="s">
        <v>17</v>
      </c>
      <c r="W18" s="775">
        <f>J18</f>
        <v>100</v>
      </c>
      <c r="X18" s="1816"/>
      <c r="Y18" s="3172"/>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2"/>
      <c r="Q19" s="1813"/>
      <c r="R19" s="774"/>
      <c r="S19" s="775"/>
      <c r="T19" s="774"/>
      <c r="U19" s="775"/>
      <c r="V19" s="774"/>
      <c r="W19" s="775"/>
      <c r="X19" s="1816"/>
      <c r="Y19" s="3172"/>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2"/>
      <c r="Q20" s="1813" t="str">
        <f>B20</f>
        <v>自然及人文环境</v>
      </c>
      <c r="R20" s="774" t="s">
        <v>17</v>
      </c>
      <c r="S20" s="775">
        <f>F20</f>
        <v>100</v>
      </c>
      <c r="T20" s="774" t="s">
        <v>17</v>
      </c>
      <c r="U20" s="775">
        <f>H20</f>
        <v>100</v>
      </c>
      <c r="V20" s="774" t="s">
        <v>17</v>
      </c>
      <c r="W20" s="775">
        <f>J20</f>
        <v>100</v>
      </c>
      <c r="X20" s="1816"/>
      <c r="Y20" s="317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2"/>
      <c r="Q21" s="1813"/>
      <c r="R21" s="774"/>
      <c r="S21" s="775"/>
      <c r="T21" s="774"/>
      <c r="U21" s="775"/>
      <c r="V21" s="774"/>
      <c r="W21" s="775"/>
      <c r="X21" s="1816"/>
      <c r="Y21" s="3172"/>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2"/>
      <c r="Q22" s="1813" t="str">
        <f>B22</f>
        <v>楼层</v>
      </c>
      <c r="R22" s="774" t="s">
        <v>17</v>
      </c>
      <c r="S22" s="775">
        <f>F22</f>
        <v>100</v>
      </c>
      <c r="T22" s="774" t="s">
        <v>17</v>
      </c>
      <c r="U22" s="775">
        <f>H22</f>
        <v>100</v>
      </c>
      <c r="V22" s="774" t="s">
        <v>17</v>
      </c>
      <c r="W22" s="775">
        <f>J22</f>
        <v>100</v>
      </c>
      <c r="X22" s="1816"/>
      <c r="Y22" s="3172"/>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2"/>
      <c r="Q23" s="1813">
        <f>B23</f>
        <v>111</v>
      </c>
      <c r="R23" s="774" t="s">
        <v>17</v>
      </c>
      <c r="S23" s="775">
        <f>F23</f>
        <v>100</v>
      </c>
      <c r="T23" s="774" t="s">
        <v>17</v>
      </c>
      <c r="U23" s="775">
        <f>H23</f>
        <v>100</v>
      </c>
      <c r="V23" s="774" t="s">
        <v>17</v>
      </c>
      <c r="W23" s="775">
        <f>J23</f>
        <v>100</v>
      </c>
      <c r="X23" s="1816"/>
      <c r="Y23" s="3172"/>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2"/>
      <c r="Q24" s="1813">
        <f t="shared" ref="Q24:Q34" si="11">B24</f>
        <v>111</v>
      </c>
      <c r="R24" s="774" t="s">
        <v>17</v>
      </c>
      <c r="S24" s="775">
        <f>F24</f>
        <v>100</v>
      </c>
      <c r="T24" s="774" t="s">
        <v>17</v>
      </c>
      <c r="U24" s="775">
        <f>H24</f>
        <v>100</v>
      </c>
      <c r="V24" s="774" t="s">
        <v>17</v>
      </c>
      <c r="W24" s="775">
        <f>J24</f>
        <v>100</v>
      </c>
      <c r="X24" s="1816"/>
      <c r="Y24" s="3172"/>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2"/>
      <c r="Q25" s="1798">
        <f t="shared" si="11"/>
        <v>111</v>
      </c>
      <c r="R25" s="770" t="s">
        <v>17</v>
      </c>
      <c r="S25" s="771">
        <f>F25</f>
        <v>100</v>
      </c>
      <c r="T25" s="770" t="s">
        <v>17</v>
      </c>
      <c r="U25" s="771">
        <f>H25</f>
        <v>100</v>
      </c>
      <c r="V25" s="770" t="s">
        <v>17</v>
      </c>
      <c r="W25" s="771">
        <f>J25</f>
        <v>100</v>
      </c>
      <c r="X25" s="772"/>
      <c r="Y25" s="3172"/>
      <c r="Z25" s="55">
        <f>Q25</f>
        <v>111</v>
      </c>
      <c r="AA25" s="1814">
        <f>D25/F25</f>
        <v>1</v>
      </c>
      <c r="AB25" s="1814">
        <f>D25/H25</f>
        <v>1</v>
      </c>
      <c r="AC25" s="1814">
        <f>D25/J25</f>
        <v>1</v>
      </c>
    </row>
    <row r="26" spans="1:29" ht="29.2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27"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6"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6"/>
      <c r="Q28" s="1813" t="str">
        <f t="shared" si="11"/>
        <v>物业等级</v>
      </c>
      <c r="R28" s="774" t="s">
        <v>17</v>
      </c>
      <c r="S28" s="775">
        <f t="shared" si="12"/>
        <v>100</v>
      </c>
      <c r="T28" s="774" t="s">
        <v>17</v>
      </c>
      <c r="U28" s="775">
        <f t="shared" si="13"/>
        <v>100</v>
      </c>
      <c r="V28" s="774" t="s">
        <v>17</v>
      </c>
      <c r="W28" s="775">
        <f t="shared" si="14"/>
        <v>100</v>
      </c>
      <c r="X28" s="1816"/>
      <c r="Y28" s="3176"/>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6"/>
      <c r="Q29" s="1813" t="str">
        <f t="shared" si="11"/>
        <v>有无电梯</v>
      </c>
      <c r="R29" s="774" t="s">
        <v>17</v>
      </c>
      <c r="S29" s="775">
        <f t="shared" si="12"/>
        <v>100</v>
      </c>
      <c r="T29" s="774" t="s">
        <v>17</v>
      </c>
      <c r="U29" s="775">
        <f t="shared" si="13"/>
        <v>100</v>
      </c>
      <c r="V29" s="774" t="s">
        <v>17</v>
      </c>
      <c r="W29" s="775">
        <f t="shared" si="14"/>
        <v>100</v>
      </c>
      <c r="X29" s="1816"/>
      <c r="Y29" s="3176"/>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6"/>
      <c r="Q30" s="1813" t="str">
        <f t="shared" si="11"/>
        <v>建筑面积</v>
      </c>
      <c r="R30" s="774" t="s">
        <v>17</v>
      </c>
      <c r="S30" s="775" t="e">
        <f t="shared" si="12"/>
        <v>#N/A</v>
      </c>
      <c r="T30" s="774" t="s">
        <v>17</v>
      </c>
      <c r="U30" s="775" t="e">
        <f t="shared" si="13"/>
        <v>#N/A</v>
      </c>
      <c r="V30" s="774" t="s">
        <v>17</v>
      </c>
      <c r="W30" s="775" t="e">
        <f t="shared" si="14"/>
        <v>#N/A</v>
      </c>
      <c r="X30" s="1816"/>
      <c r="Y30" s="3176"/>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6"/>
      <c r="Q31" s="1798"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6" t="s">
        <v>2568</v>
      </c>
      <c r="Q32" s="1813">
        <f t="shared" si="11"/>
        <v>111</v>
      </c>
      <c r="R32" s="774" t="s">
        <v>17</v>
      </c>
      <c r="S32" s="775">
        <f t="shared" si="12"/>
        <v>100</v>
      </c>
      <c r="T32" s="774" t="s">
        <v>17</v>
      </c>
      <c r="U32" s="775">
        <f t="shared" si="13"/>
        <v>100</v>
      </c>
      <c r="V32" s="774" t="s">
        <v>17</v>
      </c>
      <c r="W32" s="775">
        <f t="shared" si="14"/>
        <v>100</v>
      </c>
      <c r="X32" s="1816"/>
      <c r="Y32" s="3176"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6"/>
      <c r="Q33" s="1813">
        <f t="shared" si="11"/>
        <v>111</v>
      </c>
      <c r="R33" s="774" t="s">
        <v>17</v>
      </c>
      <c r="S33" s="775">
        <f t="shared" si="12"/>
        <v>100</v>
      </c>
      <c r="T33" s="774" t="s">
        <v>17</v>
      </c>
      <c r="U33" s="775">
        <f t="shared" si="13"/>
        <v>100</v>
      </c>
      <c r="V33" s="774" t="s">
        <v>17</v>
      </c>
      <c r="W33" s="775">
        <f t="shared" si="14"/>
        <v>100</v>
      </c>
      <c r="X33" s="1816"/>
      <c r="Y33" s="3176"/>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6"/>
      <c r="Q34" s="1813">
        <f t="shared" si="11"/>
        <v>111</v>
      </c>
      <c r="R34" s="774" t="s">
        <v>17</v>
      </c>
      <c r="S34" s="775">
        <f t="shared" si="12"/>
        <v>100</v>
      </c>
      <c r="T34" s="774" t="s">
        <v>17</v>
      </c>
      <c r="U34" s="775">
        <f t="shared" si="13"/>
        <v>100</v>
      </c>
      <c r="V34" s="774" t="s">
        <v>17</v>
      </c>
      <c r="W34" s="775">
        <f t="shared" si="14"/>
        <v>100</v>
      </c>
      <c r="X34" s="1816"/>
      <c r="Y34" s="3176"/>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66" t="str">
        <f>A37</f>
        <v>估价对象XX用房的比较价值（楼面单价，元/平方米）</v>
      </c>
      <c r="Q37" s="3167"/>
      <c r="R37" s="3168" t="e">
        <f>IF(F1="售价",ROUND(AVERAGE(R36:V36),0),ROUND(AVERAGE(R36:V36),1))</f>
        <v>#DIV/0!</v>
      </c>
      <c r="S37" s="3168"/>
      <c r="T37" s="3168"/>
      <c r="U37" s="3168"/>
      <c r="V37" s="3168"/>
      <c r="W37" s="316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94" t="s">
        <v>2650</v>
      </c>
      <c r="S4" s="3195"/>
      <c r="T4" s="3194" t="s">
        <v>2651</v>
      </c>
      <c r="U4" s="3195"/>
      <c r="V4" s="3200" t="s">
        <v>2652</v>
      </c>
      <c r="W4" s="3200"/>
      <c r="X4" s="1816"/>
      <c r="Y4" s="3194" t="s">
        <v>2654</v>
      </c>
      <c r="Z4" s="3195"/>
      <c r="AA4" s="3181" t="s">
        <v>2650</v>
      </c>
      <c r="AB4" s="3182" t="s">
        <v>2651</v>
      </c>
      <c r="AC4" s="3181" t="s">
        <v>2652</v>
      </c>
    </row>
    <row r="5" spans="1:30" ht="15">
      <c r="A5" s="404"/>
      <c r="B5" s="405"/>
      <c r="C5" s="3203" t="s">
        <v>2545</v>
      </c>
      <c r="D5" s="3204"/>
      <c r="E5" s="3210" t="s">
        <v>2546</v>
      </c>
      <c r="F5" s="3211"/>
      <c r="G5" s="3203" t="s">
        <v>2547</v>
      </c>
      <c r="H5" s="3204"/>
      <c r="I5" s="3203" t="s">
        <v>2548</v>
      </c>
      <c r="J5" s="3204"/>
      <c r="K5" s="610"/>
      <c r="L5" s="1133"/>
      <c r="M5" s="1134"/>
      <c r="N5" s="1134"/>
      <c r="O5" s="1134"/>
      <c r="P5" s="3190"/>
      <c r="Q5" s="3191"/>
      <c r="R5" s="3196"/>
      <c r="S5" s="3197"/>
      <c r="T5" s="3196"/>
      <c r="U5" s="3197"/>
      <c r="V5" s="3200"/>
      <c r="W5" s="3200"/>
      <c r="X5" s="1816"/>
      <c r="Y5" s="3196"/>
      <c r="Z5" s="3197"/>
      <c r="AA5" s="3182"/>
      <c r="AB5" s="3182"/>
      <c r="AC5" s="3182"/>
    </row>
    <row r="6" spans="1:30" ht="15.75" thickBot="1">
      <c r="A6" s="406"/>
      <c r="B6" s="407"/>
      <c r="C6" s="3201" t="s">
        <v>2549</v>
      </c>
      <c r="D6" s="3202"/>
      <c r="E6" s="3208" t="s">
        <v>2549</v>
      </c>
      <c r="F6" s="3209"/>
      <c r="G6" s="3201" t="s">
        <v>2549</v>
      </c>
      <c r="H6" s="3202"/>
      <c r="I6" s="3201" t="s">
        <v>2549</v>
      </c>
      <c r="J6" s="3202"/>
      <c r="K6" s="610" t="s">
        <v>2550</v>
      </c>
      <c r="L6" s="1133"/>
      <c r="M6" s="1134"/>
      <c r="N6" s="1134"/>
      <c r="O6" s="1134"/>
      <c r="P6" s="3192"/>
      <c r="Q6" s="3193"/>
      <c r="R6" s="3196"/>
      <c r="S6" s="3197"/>
      <c r="T6" s="3198"/>
      <c r="U6" s="3199"/>
      <c r="V6" s="3200"/>
      <c r="W6" s="3200"/>
      <c r="X6" s="1816"/>
      <c r="Y6" s="3198"/>
      <c r="Z6" s="3199"/>
      <c r="AA6" s="3183"/>
      <c r="AB6" s="3183"/>
      <c r="AC6" s="3183"/>
    </row>
    <row r="7" spans="1:30" s="117" customFormat="1" ht="15.75" thickBot="1">
      <c r="A7" s="408" t="s">
        <v>2551</v>
      </c>
      <c r="B7" s="409"/>
      <c r="C7" s="410">
        <f>'数据-取费表'!B2</f>
        <v>43465</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05" t="s">
        <v>2552</v>
      </c>
      <c r="Q7" s="3207"/>
      <c r="R7" s="770" t="s">
        <v>17</v>
      </c>
      <c r="S7" s="771">
        <f t="shared" ref="S7:S15" si="0">F7</f>
        <v>0</v>
      </c>
      <c r="T7" s="770" t="s">
        <v>17</v>
      </c>
      <c r="U7" s="771">
        <f t="shared" ref="U7:U15" si="1">H7</f>
        <v>0</v>
      </c>
      <c r="V7" s="770" t="s">
        <v>17</v>
      </c>
      <c r="W7" s="771">
        <f t="shared" ref="W7:W15" si="2">J7</f>
        <v>0</v>
      </c>
      <c r="X7" s="772"/>
      <c r="Y7" s="3205" t="s">
        <v>2552</v>
      </c>
      <c r="Z7" s="3206"/>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2555</v>
      </c>
      <c r="Q8" s="3206"/>
      <c r="R8" s="770" t="s">
        <v>17</v>
      </c>
      <c r="S8" s="771">
        <f t="shared" si="0"/>
        <v>0</v>
      </c>
      <c r="T8" s="770" t="s">
        <v>17</v>
      </c>
      <c r="U8" s="771">
        <f t="shared" si="1"/>
        <v>0</v>
      </c>
      <c r="V8" s="770" t="s">
        <v>17</v>
      </c>
      <c r="W8" s="771">
        <f t="shared" si="2"/>
        <v>0</v>
      </c>
      <c r="X8" s="772"/>
      <c r="Y8" s="3205" t="s">
        <v>2555</v>
      </c>
      <c r="Z8" s="3206"/>
      <c r="AA8" s="773" t="e">
        <f t="shared" ref="AA8:AA45" si="3">D8/F8</f>
        <v>#DIV/0!</v>
      </c>
      <c r="AB8" s="773" t="e">
        <f t="shared" ref="AB8:AB45" si="4">D8/H8</f>
        <v>#DIV/0!</v>
      </c>
      <c r="AC8" s="773" t="e">
        <f t="shared" ref="AC8:AC45" si="5">D8/J8</f>
        <v>#DIV/0!</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69" t="s">
        <v>2558</v>
      </c>
      <c r="Q9" s="1798" t="str">
        <f t="shared" ref="Q9:Q15" si="6">B9</f>
        <v>用途</v>
      </c>
      <c r="R9" s="770" t="s">
        <v>17</v>
      </c>
      <c r="S9" s="771">
        <f t="shared" si="0"/>
        <v>100</v>
      </c>
      <c r="T9" s="770" t="s">
        <v>17</v>
      </c>
      <c r="U9" s="771">
        <f t="shared" si="1"/>
        <v>100</v>
      </c>
      <c r="V9" s="770" t="s">
        <v>17</v>
      </c>
      <c r="W9" s="771">
        <f t="shared" si="2"/>
        <v>100</v>
      </c>
      <c r="X9" s="772"/>
      <c r="Y9" s="2994"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t="e">
        <f>ROUND(100/'数据-取费表'!G16,0)</f>
        <v>#DIV/0!</v>
      </c>
      <c r="G10" s="463"/>
      <c r="H10" s="136" t="e">
        <f>ROUND(100/'数据-取费表'!G16,0)</f>
        <v>#DIV/0!</v>
      </c>
      <c r="I10" s="463"/>
      <c r="J10" s="136" t="e">
        <f>ROUND(100/'数据-取费表'!G16,0)</f>
        <v>#DIV/0!</v>
      </c>
      <c r="K10" s="672"/>
      <c r="L10" s="1138"/>
      <c r="M10" s="1139"/>
      <c r="N10" s="1139"/>
      <c r="O10" s="1140"/>
      <c r="P10" s="3169"/>
      <c r="Q10" s="1798" t="str">
        <f t="shared" si="6"/>
        <v>土地使用年限（年）</v>
      </c>
      <c r="R10" s="770" t="s">
        <v>17</v>
      </c>
      <c r="S10" s="771" t="e">
        <f t="shared" si="0"/>
        <v>#DIV/0!</v>
      </c>
      <c r="T10" s="770" t="s">
        <v>17</v>
      </c>
      <c r="U10" s="771" t="e">
        <f t="shared" si="1"/>
        <v>#DIV/0!</v>
      </c>
      <c r="V10" s="770" t="s">
        <v>17</v>
      </c>
      <c r="W10" s="771" t="e">
        <f t="shared" si="2"/>
        <v>#DIV/0!</v>
      </c>
      <c r="X10" s="772"/>
      <c r="Y10" s="2994"/>
      <c r="Z10" s="55" t="str">
        <f t="shared" si="7"/>
        <v>土地使用年限（年）</v>
      </c>
      <c r="AA10" s="773" t="e">
        <f t="shared" si="3"/>
        <v>#DIV/0!</v>
      </c>
      <c r="AB10" s="773" t="e">
        <f t="shared" si="4"/>
        <v>#DIV/0!</v>
      </c>
      <c r="AC10" s="773" t="e">
        <f t="shared" si="5"/>
        <v>#DIV/0!</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9"/>
      <c r="Q12" s="1798" t="str">
        <f t="shared" si="6"/>
        <v>配建</v>
      </c>
      <c r="R12" s="770" t="s">
        <v>17</v>
      </c>
      <c r="S12" s="771">
        <f t="shared" si="0"/>
        <v>100</v>
      </c>
      <c r="T12" s="770" t="s">
        <v>17</v>
      </c>
      <c r="U12" s="771">
        <f t="shared" si="1"/>
        <v>100</v>
      </c>
      <c r="V12" s="770" t="s">
        <v>17</v>
      </c>
      <c r="W12" s="771">
        <f t="shared" si="2"/>
        <v>100</v>
      </c>
      <c r="X12" s="772"/>
      <c r="Y12" s="299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2994"/>
      <c r="Z14" s="55">
        <f t="shared" si="7"/>
        <v>111</v>
      </c>
      <c r="AA14" s="773">
        <f>D14/F14</f>
        <v>1</v>
      </c>
      <c r="AB14" s="773">
        <f>D14/H14</f>
        <v>1</v>
      </c>
      <c r="AC14" s="773">
        <f>D14/J14</f>
        <v>1</v>
      </c>
    </row>
    <row r="15" spans="1:30" ht="99.75">
      <c r="A15" s="440" t="s">
        <v>2562</v>
      </c>
      <c r="B15" s="69" t="s">
        <v>2086</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1" t="s">
        <v>2563</v>
      </c>
      <c r="Q15" s="1813" t="str">
        <f t="shared" si="6"/>
        <v>居住社区成熟度</v>
      </c>
      <c r="R15" s="774" t="s">
        <v>17</v>
      </c>
      <c r="S15" s="775">
        <f t="shared" si="0"/>
        <v>100</v>
      </c>
      <c r="T15" s="774" t="s">
        <v>17</v>
      </c>
      <c r="U15" s="775">
        <f t="shared" si="1"/>
        <v>100</v>
      </c>
      <c r="V15" s="774" t="s">
        <v>17</v>
      </c>
      <c r="W15" s="775">
        <f t="shared" si="2"/>
        <v>100</v>
      </c>
      <c r="X15" s="1816"/>
      <c r="Y15" s="3171" t="s">
        <v>2563</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72"/>
      <c r="Q16" s="1813"/>
      <c r="R16" s="774"/>
      <c r="S16" s="775"/>
      <c r="T16" s="774"/>
      <c r="U16" s="775"/>
      <c r="V16" s="774"/>
      <c r="W16" s="775"/>
      <c r="X16" s="1816"/>
      <c r="Y16" s="3172"/>
      <c r="Z16" s="1817"/>
      <c r="AA16" s="1814">
        <v>1</v>
      </c>
      <c r="AB16" s="1814">
        <v>1</v>
      </c>
      <c r="AC16" s="1814">
        <v>1</v>
      </c>
    </row>
    <row r="17" spans="1:29" ht="71.25">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2"/>
      <c r="Q17" s="1813" t="str">
        <f>B17</f>
        <v>商业繁华度</v>
      </c>
      <c r="R17" s="774" t="s">
        <v>17</v>
      </c>
      <c r="S17" s="775">
        <f>F17</f>
        <v>100</v>
      </c>
      <c r="T17" s="774" t="s">
        <v>17</v>
      </c>
      <c r="U17" s="775">
        <f>H17</f>
        <v>100</v>
      </c>
      <c r="V17" s="774" t="s">
        <v>17</v>
      </c>
      <c r="W17" s="775">
        <f>J17</f>
        <v>100</v>
      </c>
      <c r="X17" s="1816"/>
      <c r="Y17" s="3172"/>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72"/>
      <c r="Q18" s="1813"/>
      <c r="R18" s="774"/>
      <c r="S18" s="775"/>
      <c r="T18" s="774"/>
      <c r="U18" s="775"/>
      <c r="V18" s="774"/>
      <c r="W18" s="775"/>
      <c r="X18" s="1816"/>
      <c r="Y18" s="3172"/>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2"/>
      <c r="Q19" s="1813" t="str">
        <f>B19</f>
        <v>办公集聚程度</v>
      </c>
      <c r="R19" s="774" t="s">
        <v>17</v>
      </c>
      <c r="S19" s="775">
        <f>F19</f>
        <v>100</v>
      </c>
      <c r="T19" s="774" t="s">
        <v>17</v>
      </c>
      <c r="U19" s="775">
        <f>H19</f>
        <v>100</v>
      </c>
      <c r="V19" s="774" t="s">
        <v>17</v>
      </c>
      <c r="W19" s="775">
        <f>J19</f>
        <v>100</v>
      </c>
      <c r="X19" s="1816"/>
      <c r="Y19" s="3172"/>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72"/>
      <c r="Q20" s="1813"/>
      <c r="R20" s="774"/>
      <c r="S20" s="775"/>
      <c r="T20" s="774"/>
      <c r="U20" s="775"/>
      <c r="V20" s="774"/>
      <c r="W20" s="775"/>
      <c r="X20" s="1816"/>
      <c r="Y20" s="3172"/>
      <c r="Z20" s="1817"/>
      <c r="AA20" s="1814">
        <v>1</v>
      </c>
      <c r="AB20" s="1814">
        <v>1</v>
      </c>
      <c r="AC20" s="1814">
        <v>1</v>
      </c>
    </row>
    <row r="21" spans="1:29" ht="85.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2"/>
      <c r="Q21" s="1813" t="str">
        <f>B21</f>
        <v>交通便捷度</v>
      </c>
      <c r="R21" s="774" t="s">
        <v>17</v>
      </c>
      <c r="S21" s="775">
        <f>F21</f>
        <v>100</v>
      </c>
      <c r="T21" s="774" t="s">
        <v>17</v>
      </c>
      <c r="U21" s="775">
        <f>H21</f>
        <v>100</v>
      </c>
      <c r="V21" s="774" t="s">
        <v>17</v>
      </c>
      <c r="W21" s="775">
        <f>J21</f>
        <v>100</v>
      </c>
      <c r="X21" s="1816"/>
      <c r="Y21" s="3172"/>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72"/>
      <c r="Q22" s="1813"/>
      <c r="R22" s="774"/>
      <c r="S22" s="775"/>
      <c r="T22" s="774"/>
      <c r="U22" s="775"/>
      <c r="V22" s="774"/>
      <c r="W22" s="775"/>
      <c r="X22" s="1816"/>
      <c r="Y22" s="3172"/>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2"/>
      <c r="Q23" s="1813" t="str">
        <f t="shared" ref="Q23:Q37" si="8">B23</f>
        <v>区域土地利用方向</v>
      </c>
      <c r="R23" s="774" t="s">
        <v>17</v>
      </c>
      <c r="S23" s="775">
        <f>F23</f>
        <v>100</v>
      </c>
      <c r="T23" s="774" t="s">
        <v>17</v>
      </c>
      <c r="U23" s="775">
        <f>H23</f>
        <v>100</v>
      </c>
      <c r="V23" s="774" t="s">
        <v>17</v>
      </c>
      <c r="W23" s="775">
        <f>J23</f>
        <v>100</v>
      </c>
      <c r="X23" s="1816"/>
      <c r="Y23" s="3172"/>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72"/>
      <c r="Q24" s="1813"/>
      <c r="R24" s="774"/>
      <c r="S24" s="775"/>
      <c r="T24" s="774"/>
      <c r="U24" s="775"/>
      <c r="V24" s="774"/>
      <c r="W24" s="775"/>
      <c r="X24" s="1816"/>
      <c r="Y24" s="3172"/>
      <c r="Z24" s="1817"/>
      <c r="AA24" s="1814"/>
      <c r="AB24" s="1814"/>
      <c r="AC24" s="1814"/>
    </row>
    <row r="25" spans="1:29" ht="57">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2"/>
      <c r="Q25" s="1813" t="str">
        <f t="shared" si="8"/>
        <v>自然及人文环境状况</v>
      </c>
      <c r="R25" s="774" t="s">
        <v>17</v>
      </c>
      <c r="S25" s="775">
        <f>F25</f>
        <v>100</v>
      </c>
      <c r="T25" s="774" t="s">
        <v>17</v>
      </c>
      <c r="U25" s="775">
        <f>H25</f>
        <v>100</v>
      </c>
      <c r="V25" s="774" t="s">
        <v>17</v>
      </c>
      <c r="W25" s="775">
        <f>J25</f>
        <v>100</v>
      </c>
      <c r="X25" s="1816"/>
      <c r="Y25" s="3172"/>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72"/>
      <c r="Q26" s="1813"/>
      <c r="R26" s="774"/>
      <c r="S26" s="775"/>
      <c r="T26" s="774"/>
      <c r="U26" s="775"/>
      <c r="V26" s="774"/>
      <c r="W26" s="775"/>
      <c r="X26" s="1816"/>
      <c r="Y26" s="3172"/>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2"/>
      <c r="Q27" s="1798" t="str">
        <f t="shared" si="8"/>
        <v>公共配套设施</v>
      </c>
      <c r="R27" s="770" t="s">
        <v>17</v>
      </c>
      <c r="S27" s="771">
        <f>F27</f>
        <v>100</v>
      </c>
      <c r="T27" s="770" t="s">
        <v>17</v>
      </c>
      <c r="U27" s="771">
        <f>H27</f>
        <v>100</v>
      </c>
      <c r="V27" s="770" t="s">
        <v>17</v>
      </c>
      <c r="W27" s="771">
        <f>J27</f>
        <v>100</v>
      </c>
      <c r="X27" s="772"/>
      <c r="Y27" s="3172"/>
      <c r="Z27" s="55" t="str">
        <f>Q27</f>
        <v>公共配套设施</v>
      </c>
      <c r="AA27" s="1814">
        <f>D27/F27</f>
        <v>1</v>
      </c>
      <c r="AB27" s="1814">
        <f>D27/H27</f>
        <v>1</v>
      </c>
      <c r="AC27" s="1814">
        <f>D27/J27</f>
        <v>1</v>
      </c>
    </row>
    <row r="28" spans="1:29" s="117" customFormat="1" ht="15">
      <c r="A28" s="649"/>
      <c r="B28" s="456"/>
      <c r="C28" s="2706"/>
      <c r="D28" s="448"/>
      <c r="E28" s="2617"/>
      <c r="F28" s="448"/>
      <c r="G28" s="2617"/>
      <c r="H28" s="448"/>
      <c r="I28" s="447"/>
      <c r="J28" s="448"/>
      <c r="K28" s="672"/>
      <c r="L28" s="1135"/>
      <c r="M28" s="1136"/>
      <c r="N28" s="1136"/>
      <c r="O28" s="1137"/>
      <c r="P28" s="3172"/>
      <c r="Q28" s="1798"/>
      <c r="R28" s="770"/>
      <c r="S28" s="771"/>
      <c r="T28" s="770"/>
      <c r="U28" s="771"/>
      <c r="V28" s="770"/>
      <c r="W28" s="771"/>
      <c r="X28" s="772"/>
      <c r="Y28" s="3172"/>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2"/>
      <c r="Q29" s="1798"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72"/>
      <c r="Q30" s="1798"/>
      <c r="R30" s="770"/>
      <c r="S30" s="771"/>
      <c r="T30" s="770"/>
      <c r="U30" s="771"/>
      <c r="V30" s="770"/>
      <c r="W30" s="771"/>
      <c r="X30" s="772"/>
      <c r="Y30" s="3172"/>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2"/>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2"/>
      <c r="Q32" s="1813" t="str">
        <f t="shared" si="8"/>
        <v>毗邻道路的类型与等级</v>
      </c>
      <c r="R32" s="774" t="s">
        <v>17</v>
      </c>
      <c r="S32" s="775">
        <f t="shared" si="10"/>
        <v>100</v>
      </c>
      <c r="T32" s="774" t="s">
        <v>17</v>
      </c>
      <c r="U32" s="775">
        <f t="shared" si="11"/>
        <v>100</v>
      </c>
      <c r="V32" s="774" t="s">
        <v>17</v>
      </c>
      <c r="W32" s="775">
        <f t="shared" si="12"/>
        <v>100</v>
      </c>
      <c r="X32" s="1816"/>
      <c r="Y32" s="3172"/>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2"/>
      <c r="Q33" s="1813"/>
      <c r="R33" s="774"/>
      <c r="S33" s="775"/>
      <c r="T33" s="774"/>
      <c r="U33" s="775"/>
      <c r="V33" s="774"/>
      <c r="W33" s="775"/>
      <c r="X33" s="1816"/>
      <c r="Y33" s="3172"/>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2"/>
      <c r="Q34" s="1813" t="str">
        <f t="shared" si="8"/>
        <v>土地级别</v>
      </c>
      <c r="R34" s="774" t="s">
        <v>17</v>
      </c>
      <c r="S34" s="775">
        <f t="shared" si="10"/>
        <v>100</v>
      </c>
      <c r="T34" s="774" t="s">
        <v>17</v>
      </c>
      <c r="U34" s="775">
        <f t="shared" si="11"/>
        <v>100</v>
      </c>
      <c r="V34" s="774" t="s">
        <v>17</v>
      </c>
      <c r="W34" s="775">
        <f t="shared" si="12"/>
        <v>100</v>
      </c>
      <c r="X34" s="1816"/>
      <c r="Y34" s="317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2"/>
      <c r="Q35" s="1813">
        <f t="shared" si="8"/>
        <v>111</v>
      </c>
      <c r="R35" s="774" t="s">
        <v>17</v>
      </c>
      <c r="S35" s="775">
        <f t="shared" si="10"/>
        <v>100</v>
      </c>
      <c r="T35" s="774" t="s">
        <v>17</v>
      </c>
      <c r="U35" s="775">
        <f t="shared" si="11"/>
        <v>100</v>
      </c>
      <c r="V35" s="774" t="s">
        <v>17</v>
      </c>
      <c r="W35" s="775">
        <f t="shared" si="12"/>
        <v>100</v>
      </c>
      <c r="X35" s="1816"/>
      <c r="Y35" s="317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7" t="s">
        <v>2568</v>
      </c>
      <c r="Q36" s="1813">
        <f t="shared" si="8"/>
        <v>111</v>
      </c>
      <c r="R36" s="774" t="s">
        <v>17</v>
      </c>
      <c r="S36" s="775">
        <f t="shared" si="10"/>
        <v>100</v>
      </c>
      <c r="T36" s="774" t="s">
        <v>17</v>
      </c>
      <c r="U36" s="775">
        <f t="shared" si="11"/>
        <v>100</v>
      </c>
      <c r="V36" s="774" t="s">
        <v>17</v>
      </c>
      <c r="W36" s="775">
        <f t="shared" si="12"/>
        <v>100</v>
      </c>
      <c r="X36" s="1816"/>
      <c r="Y36" s="3176"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6"/>
      <c r="Q37" s="1813">
        <f t="shared" si="8"/>
        <v>111</v>
      </c>
      <c r="R37" s="777" t="s">
        <v>17</v>
      </c>
      <c r="S37" s="778">
        <f t="shared" si="10"/>
        <v>100</v>
      </c>
      <c r="T37" s="777" t="s">
        <v>17</v>
      </c>
      <c r="U37" s="778">
        <f t="shared" si="11"/>
        <v>100</v>
      </c>
      <c r="V37" s="777" t="s">
        <v>17</v>
      </c>
      <c r="W37" s="778">
        <f t="shared" si="12"/>
        <v>100</v>
      </c>
      <c r="X37" s="779"/>
      <c r="Y37" s="3176"/>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6"/>
      <c r="Q38" s="1813" t="str">
        <f>B38</f>
        <v>宗地面积</v>
      </c>
      <c r="R38" s="774" t="s">
        <v>17</v>
      </c>
      <c r="S38" s="775" t="e">
        <f t="shared" si="10"/>
        <v>#N/A</v>
      </c>
      <c r="T38" s="774" t="s">
        <v>17</v>
      </c>
      <c r="U38" s="775" t="e">
        <f t="shared" si="11"/>
        <v>#N/A</v>
      </c>
      <c r="V38" s="774" t="s">
        <v>17</v>
      </c>
      <c r="W38" s="775" t="e">
        <f t="shared" si="12"/>
        <v>#N/A</v>
      </c>
      <c r="X38" s="1816"/>
      <c r="Y38" s="3176"/>
      <c r="Z38" s="1817" t="str">
        <f t="shared" si="13"/>
        <v>宗地面积</v>
      </c>
      <c r="AA38" s="1814" t="e">
        <f t="shared" si="3"/>
        <v>#N/A</v>
      </c>
      <c r="AB38" s="1814" t="e">
        <f t="shared" si="4"/>
        <v>#N/A</v>
      </c>
      <c r="AC38" s="1814" t="e">
        <f t="shared" si="5"/>
        <v>#N/A</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6"/>
      <c r="Q39" s="1813" t="str">
        <f t="shared" ref="Q39:Q45" si="14">B39</f>
        <v>宗地形状</v>
      </c>
      <c r="R39" s="774" t="s">
        <v>17</v>
      </c>
      <c r="S39" s="775">
        <f t="shared" si="10"/>
        <v>100</v>
      </c>
      <c r="T39" s="774" t="s">
        <v>17</v>
      </c>
      <c r="U39" s="775">
        <f t="shared" si="11"/>
        <v>100</v>
      </c>
      <c r="V39" s="774" t="s">
        <v>17</v>
      </c>
      <c r="W39" s="775">
        <f t="shared" si="12"/>
        <v>100</v>
      </c>
      <c r="X39" s="1816"/>
      <c r="Y39" s="3176"/>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6"/>
      <c r="Q40" s="1813" t="str">
        <f t="shared" si="14"/>
        <v>临街宽度及深度</v>
      </c>
      <c r="R40" s="774" t="s">
        <v>17</v>
      </c>
      <c r="S40" s="775">
        <f t="shared" si="10"/>
        <v>100</v>
      </c>
      <c r="T40" s="774" t="s">
        <v>17</v>
      </c>
      <c r="U40" s="775">
        <f t="shared" si="11"/>
        <v>100</v>
      </c>
      <c r="V40" s="774" t="s">
        <v>17</v>
      </c>
      <c r="W40" s="775">
        <f t="shared" si="12"/>
        <v>100</v>
      </c>
      <c r="X40" s="1816"/>
      <c r="Y40" s="3176"/>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6"/>
      <c r="Q41" s="1813"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6" t="s">
        <v>2568</v>
      </c>
      <c r="Q42" s="1813" t="str">
        <f t="shared" si="14"/>
        <v>工程地质条件</v>
      </c>
      <c r="R42" s="774" t="s">
        <v>17</v>
      </c>
      <c r="S42" s="775">
        <f t="shared" si="10"/>
        <v>100</v>
      </c>
      <c r="T42" s="774" t="s">
        <v>17</v>
      </c>
      <c r="U42" s="775">
        <f t="shared" si="11"/>
        <v>100</v>
      </c>
      <c r="V42" s="774" t="s">
        <v>17</v>
      </c>
      <c r="W42" s="775">
        <f t="shared" si="12"/>
        <v>100</v>
      </c>
      <c r="X42" s="1816"/>
      <c r="Y42" s="3176"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6"/>
      <c r="Q43" s="1813">
        <f t="shared" si="14"/>
        <v>111</v>
      </c>
      <c r="R43" s="774" t="s">
        <v>17</v>
      </c>
      <c r="S43" s="775">
        <f t="shared" si="10"/>
        <v>100</v>
      </c>
      <c r="T43" s="774" t="s">
        <v>17</v>
      </c>
      <c r="U43" s="775">
        <f t="shared" si="11"/>
        <v>100</v>
      </c>
      <c r="V43" s="774" t="s">
        <v>17</v>
      </c>
      <c r="W43" s="775">
        <f t="shared" si="12"/>
        <v>100</v>
      </c>
      <c r="X43" s="1816"/>
      <c r="Y43" s="317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6"/>
      <c r="Q44" s="1813">
        <f t="shared" si="14"/>
        <v>111</v>
      </c>
      <c r="R44" s="774" t="s">
        <v>17</v>
      </c>
      <c r="S44" s="775">
        <f t="shared" si="10"/>
        <v>100</v>
      </c>
      <c r="T44" s="774" t="s">
        <v>17</v>
      </c>
      <c r="U44" s="775">
        <f t="shared" si="11"/>
        <v>100</v>
      </c>
      <c r="V44" s="774" t="s">
        <v>17</v>
      </c>
      <c r="W44" s="775">
        <f t="shared" si="12"/>
        <v>100</v>
      </c>
      <c r="X44" s="1816"/>
      <c r="Y44" s="3176"/>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6"/>
      <c r="Q45" s="1813">
        <f t="shared" si="14"/>
        <v>111</v>
      </c>
      <c r="R45" s="777" t="s">
        <v>17</v>
      </c>
      <c r="S45" s="778">
        <f t="shared" si="10"/>
        <v>100</v>
      </c>
      <c r="T45" s="777" t="s">
        <v>17</v>
      </c>
      <c r="U45" s="778">
        <f t="shared" si="11"/>
        <v>100</v>
      </c>
      <c r="V45" s="777" t="s">
        <v>17</v>
      </c>
      <c r="W45" s="778">
        <f t="shared" si="12"/>
        <v>100</v>
      </c>
      <c r="X45" s="779"/>
      <c r="Y45" s="3176"/>
      <c r="Z45" s="780">
        <f t="shared" si="13"/>
        <v>111</v>
      </c>
      <c r="AA45" s="1814">
        <f t="shared" si="3"/>
        <v>1</v>
      </c>
      <c r="AB45" s="1814">
        <f t="shared" si="4"/>
        <v>1</v>
      </c>
      <c r="AC45" s="1814">
        <f t="shared" si="5"/>
        <v>1</v>
      </c>
    </row>
    <row r="46" spans="1:29" ht="15">
      <c r="A46" s="479" t="s">
        <v>2723</v>
      </c>
      <c r="B46" s="2710" t="s">
        <v>2759</v>
      </c>
      <c r="C46" s="682" t="s">
        <v>1</v>
      </c>
      <c r="D46" s="481"/>
      <c r="E46" s="482"/>
      <c r="F46" s="483"/>
      <c r="G46" s="484"/>
      <c r="H46" s="485"/>
      <c r="I46" s="482"/>
      <c r="J46" s="485"/>
      <c r="K46" s="783"/>
      <c r="L46" s="1146"/>
      <c r="M46" s="1147"/>
      <c r="N46" s="1134"/>
      <c r="O46" s="1147"/>
      <c r="P46" s="3169" t="str">
        <f>A46</f>
        <v>成交单价</v>
      </c>
      <c r="Q46" s="3169"/>
      <c r="R46" s="3200">
        <f>E46</f>
        <v>0</v>
      </c>
      <c r="S46" s="3200"/>
      <c r="T46" s="3200">
        <f>G46</f>
        <v>0</v>
      </c>
      <c r="U46" s="3200"/>
      <c r="V46" s="3200">
        <f>I46</f>
        <v>0</v>
      </c>
      <c r="W46" s="3200"/>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69" t="str">
        <f>A47</f>
        <v>比较价值（元/平方米）</v>
      </c>
      <c r="Q47" s="3169"/>
      <c r="R47" s="3228" t="e">
        <f>ROUND(PRODUCT(R46,AA7:AA45),0)</f>
        <v>#DIV/0!</v>
      </c>
      <c r="S47" s="3228"/>
      <c r="T47" s="3228" t="e">
        <f>ROUND(PRODUCT(T46,AB7:AB45),0)</f>
        <v>#DIV/0!</v>
      </c>
      <c r="U47" s="3228"/>
      <c r="V47" s="3228" t="e">
        <f>ROUND(PRODUCT(V46,AC7:AC45),0)</f>
        <v>#DIV/0!</v>
      </c>
      <c r="W47" s="3228"/>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66" t="str">
        <f>A48</f>
        <v>估价对象XX用房的比较价值（楼面单价，元/平方米）</v>
      </c>
      <c r="Q48" s="3167"/>
      <c r="R48" s="3229" t="e">
        <f>ROUND(AVERAGE(R47:V47),0)</f>
        <v>#DIV/0!</v>
      </c>
      <c r="S48" s="3229"/>
      <c r="T48" s="3229"/>
      <c r="U48" s="3229"/>
      <c r="V48" s="3229"/>
      <c r="W48" s="322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1" t="s">
        <v>2763</v>
      </c>
      <c r="D55" s="2712" t="s">
        <v>2764</v>
      </c>
      <c r="E55" s="686" t="s">
        <v>2765</v>
      </c>
      <c r="F55" s="1110" t="s">
        <v>2766</v>
      </c>
      <c r="G55" s="3184" t="s">
        <v>2767</v>
      </c>
      <c r="H55" s="3230"/>
      <c r="I55" s="144" t="s">
        <v>2768</v>
      </c>
      <c r="J55" s="2713">
        <f>项目基本情况!F35</f>
        <v>0</v>
      </c>
      <c r="K55" s="2714" t="s">
        <v>2769</v>
      </c>
      <c r="L55" s="1109"/>
      <c r="M55" s="1147"/>
      <c r="N55" s="1147"/>
      <c r="O55" s="1147"/>
    </row>
    <row r="56" spans="1:15" s="692" customFormat="1">
      <c r="A56" s="688" t="s">
        <v>2770</v>
      </c>
      <c r="B56" s="689" t="e">
        <f>C48</f>
        <v>#DIV/0!</v>
      </c>
      <c r="C56" s="690">
        <v>1</v>
      </c>
      <c r="D56" s="1166">
        <v>1</v>
      </c>
      <c r="E56" s="690">
        <f>'数据-汇总表'!E8+'数据-汇总表'!E9</f>
        <v>0</v>
      </c>
      <c r="F56" s="1106" t="e">
        <f t="shared" ref="F56:F65" si="15">ROUND(B56*E56/10000,0)</f>
        <v>#DIV/0!</v>
      </c>
      <c r="G56" s="3180"/>
      <c r="H56" s="3169"/>
      <c r="I56" s="1111">
        <v>1</v>
      </c>
      <c r="J56" s="1114">
        <v>1</v>
      </c>
      <c r="K56" s="1148"/>
      <c r="L56" s="944"/>
      <c r="M56" s="944"/>
      <c r="N56" s="944"/>
      <c r="O56" s="944"/>
    </row>
    <row r="57" spans="1:15" s="692" customFormat="1">
      <c r="A57" s="693" t="s">
        <v>2771</v>
      </c>
      <c r="B57" s="262" t="e">
        <f>ROUND($C$48*C57*D57,0)</f>
        <v>#DIV/0!</v>
      </c>
      <c r="C57" s="200">
        <f t="shared" ref="C57:C65" si="16">IF($C$55="北京市系数",I57,J57)</f>
        <v>0</v>
      </c>
      <c r="D57" s="1167">
        <v>0.25</v>
      </c>
      <c r="E57" s="694"/>
      <c r="F57" s="1106" t="e">
        <f t="shared" si="15"/>
        <v>#DIV/0!</v>
      </c>
      <c r="G57" s="3231" t="s">
        <v>2772</v>
      </c>
      <c r="H57" s="1107">
        <f>项目基本情况!B37</f>
        <v>0</v>
      </c>
      <c r="I57" s="1111">
        <f>SUMIF(修正!A45:A56,H57,修正!B45:B56)</f>
        <v>0</v>
      </c>
      <c r="J57" s="1115"/>
      <c r="K57" s="1147"/>
      <c r="L57" s="944"/>
      <c r="M57" s="944"/>
      <c r="N57" s="944"/>
      <c r="O57" s="944"/>
    </row>
    <row r="58" spans="1:15" s="692" customFormat="1">
      <c r="A58" s="693" t="s">
        <v>2773</v>
      </c>
      <c r="B58" s="262" t="e">
        <f t="shared" ref="B58:B65" si="17">ROUND($C$48*C58*D58,0)</f>
        <v>#DIV/0!</v>
      </c>
      <c r="C58" s="200">
        <f t="shared" si="16"/>
        <v>0</v>
      </c>
      <c r="D58" s="1167">
        <v>0.25</v>
      </c>
      <c r="E58" s="694"/>
      <c r="F58" s="1106" t="e">
        <f t="shared" si="15"/>
        <v>#DIV/0!</v>
      </c>
      <c r="G58" s="3231"/>
      <c r="H58" s="1107">
        <f>项目基本情况!B37</f>
        <v>0</v>
      </c>
      <c r="I58" s="1111">
        <f>SUMIF(修正!A45:A56,H58,修正!C45:C56)</f>
        <v>0</v>
      </c>
      <c r="J58" s="1115"/>
      <c r="K58" s="1148"/>
      <c r="L58" s="944"/>
      <c r="M58" s="944"/>
      <c r="N58" s="944"/>
      <c r="O58" s="944"/>
    </row>
    <row r="59" spans="1:15" s="692" customFormat="1">
      <c r="A59" s="693" t="s">
        <v>2774</v>
      </c>
      <c r="B59" s="262" t="e">
        <f t="shared" si="17"/>
        <v>#DIV/0!</v>
      </c>
      <c r="C59" s="200">
        <f t="shared" si="16"/>
        <v>0</v>
      </c>
      <c r="D59" s="1167">
        <v>0.25</v>
      </c>
      <c r="E59" s="694"/>
      <c r="F59" s="1106" t="e">
        <f t="shared" si="15"/>
        <v>#DIV/0!</v>
      </c>
      <c r="G59" s="3231"/>
      <c r="H59" s="1107">
        <f>项目基本情况!B37</f>
        <v>0</v>
      </c>
      <c r="I59" s="1111">
        <f>SUMIF(修正!A45:A56,H59,修正!D45:D56)</f>
        <v>0</v>
      </c>
      <c r="J59" s="1115"/>
      <c r="K59" s="1147"/>
      <c r="L59" s="944"/>
      <c r="M59" s="944"/>
      <c r="N59" s="944"/>
      <c r="O59" s="944"/>
    </row>
    <row r="60" spans="1:15" s="692" customFormat="1">
      <c r="A60" s="693" t="s">
        <v>2775</v>
      </c>
      <c r="B60" s="262" t="e">
        <f t="shared" si="17"/>
        <v>#DIV/0!</v>
      </c>
      <c r="C60" s="200">
        <f t="shared" si="16"/>
        <v>0</v>
      </c>
      <c r="D60" s="1167">
        <v>0.25</v>
      </c>
      <c r="E60" s="694"/>
      <c r="F60" s="1106" t="e">
        <f t="shared" si="15"/>
        <v>#DIV/0!</v>
      </c>
      <c r="G60" s="3231"/>
      <c r="H60" s="1107">
        <f>项目基本情况!B37</f>
        <v>0</v>
      </c>
      <c r="I60" s="1111">
        <f>SUMIF(修正!A45:A56,H60,修正!E45:E56)</f>
        <v>0</v>
      </c>
      <c r="J60" s="1115"/>
      <c r="K60" s="1148"/>
      <c r="L60" s="944"/>
      <c r="M60" s="944"/>
      <c r="N60" s="944"/>
      <c r="O60" s="944"/>
    </row>
    <row r="61" spans="1:15" s="692" customFormat="1">
      <c r="A61" s="693" t="s">
        <v>2776</v>
      </c>
      <c r="B61" s="262" t="e">
        <f t="shared" si="17"/>
        <v>#DIV/0!</v>
      </c>
      <c r="C61" s="200">
        <f t="shared" si="16"/>
        <v>0.25</v>
      </c>
      <c r="D61" s="1167">
        <v>0.25</v>
      </c>
      <c r="E61" s="261">
        <f>'数据-汇总表'!E11</f>
        <v>0</v>
      </c>
      <c r="F61" s="1106" t="e">
        <f t="shared" si="15"/>
        <v>#DIV/0!</v>
      </c>
      <c r="G61" s="2715" t="s">
        <v>2777</v>
      </c>
      <c r="H61" s="1107" t="str">
        <f>项目基本情况!C37</f>
        <v>三级</v>
      </c>
      <c r="I61" s="1111">
        <f>SUMIF(修正!A45:A56,H61,修正!F45:F56)</f>
        <v>0.25</v>
      </c>
      <c r="J61" s="1115"/>
      <c r="K61" s="1147"/>
      <c r="L61" s="944"/>
      <c r="M61" s="944"/>
      <c r="N61" s="944"/>
      <c r="O61" s="944"/>
    </row>
    <row r="62" spans="1:15" s="692" customFormat="1">
      <c r="A62" s="693" t="s">
        <v>2778</v>
      </c>
      <c r="B62" s="262" t="e">
        <f t="shared" si="17"/>
        <v>#DIV/0!</v>
      </c>
      <c r="C62" s="200">
        <f t="shared" si="16"/>
        <v>0.25</v>
      </c>
      <c r="D62" s="1167">
        <v>0.25</v>
      </c>
      <c r="E62" s="261">
        <f>'数据-汇总表'!E12</f>
        <v>0</v>
      </c>
      <c r="F62" s="1106" t="e">
        <f t="shared" si="15"/>
        <v>#DIV/0!</v>
      </c>
      <c r="G62" s="1112" t="s">
        <v>2779</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v>
      </c>
      <c r="D64" s="1167">
        <v>0.25</v>
      </c>
      <c r="E64" s="261">
        <f>'数据-汇总表'!E14</f>
        <v>0</v>
      </c>
      <c r="F64" s="1106" t="e">
        <f t="shared" si="15"/>
        <v>#DIV/0!</v>
      </c>
      <c r="G64" s="2715" t="s">
        <v>2772</v>
      </c>
      <c r="H64" s="1107">
        <f>项目基本情况!B37</f>
        <v>0</v>
      </c>
      <c r="I64" s="1111">
        <f>SUMIF(修正!A45:A56,H64,修正!H45:H56)</f>
        <v>0</v>
      </c>
      <c r="J64" s="1115"/>
      <c r="K64" s="1148"/>
      <c r="L64" s="944"/>
      <c r="M64" s="944"/>
      <c r="N64" s="944"/>
      <c r="O64" s="944"/>
    </row>
    <row r="65" spans="1:17" s="692" customFormat="1" ht="15" thickBot="1">
      <c r="A65" s="693" t="s">
        <v>2783</v>
      </c>
      <c r="B65" s="262" t="e">
        <f t="shared" si="17"/>
        <v>#DIV/0!</v>
      </c>
      <c r="C65" s="200">
        <f t="shared" si="16"/>
        <v>0.2</v>
      </c>
      <c r="D65" s="1167">
        <v>0.25</v>
      </c>
      <c r="E65" s="261">
        <f>'数据-汇总表'!E15</f>
        <v>0</v>
      </c>
      <c r="F65" s="1106" t="e">
        <f t="shared" si="15"/>
        <v>#DIV/0!</v>
      </c>
      <c r="G65" s="2716" t="s">
        <v>2777</v>
      </c>
      <c r="H65" s="1117" t="str">
        <f>项目基本情况!C37</f>
        <v>三级</v>
      </c>
      <c r="I65" s="1113">
        <f>SUMIF(修正!A45:A56,H65,修正!H45:H56)</f>
        <v>0.2</v>
      </c>
      <c r="J65" s="1116"/>
      <c r="K65" s="1147"/>
      <c r="L65" s="944"/>
      <c r="M65" s="944"/>
      <c r="N65" s="944"/>
      <c r="O65" s="944"/>
    </row>
    <row r="66" spans="1:17" s="692" customFormat="1" ht="13.5" thickBot="1">
      <c r="A66" s="695" t="s">
        <v>2784</v>
      </c>
      <c r="B66" s="696" t="s">
        <v>28</v>
      </c>
      <c r="C66" s="696" t="s">
        <v>29</v>
      </c>
      <c r="D66" s="696" t="s">
        <v>1026</v>
      </c>
      <c r="E66" s="696">
        <f>IF(B46="楼面地价",SUM(E56:E65),'数据-汇总表'!D3)</f>
        <v>0</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7" t="s">
        <v>2785</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8" t="s">
        <v>2786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84" t="s">
        <v>2649</v>
      </c>
      <c r="D4" s="3185"/>
      <c r="E4" s="3186" t="s">
        <v>2650</v>
      </c>
      <c r="F4" s="3187"/>
      <c r="G4" s="3184" t="s">
        <v>2651</v>
      </c>
      <c r="H4" s="3185"/>
      <c r="I4" s="3184" t="s">
        <v>2652</v>
      </c>
      <c r="J4" s="3185"/>
      <c r="K4" s="610" t="s">
        <v>2653</v>
      </c>
      <c r="L4" s="1133"/>
      <c r="M4" s="1134"/>
      <c r="N4" s="1134"/>
      <c r="O4" s="1134"/>
      <c r="P4" s="3188" t="s">
        <v>2654</v>
      </c>
      <c r="Q4" s="3189"/>
      <c r="R4" s="3194" t="s">
        <v>2650</v>
      </c>
      <c r="S4" s="3195"/>
      <c r="T4" s="3194" t="s">
        <v>2651</v>
      </c>
      <c r="U4" s="3195"/>
      <c r="V4" s="3200" t="s">
        <v>2652</v>
      </c>
      <c r="W4" s="3200"/>
      <c r="X4" s="1816"/>
      <c r="Y4" s="3194" t="s">
        <v>2654</v>
      </c>
      <c r="Z4" s="3195"/>
      <c r="AA4" s="3181" t="s">
        <v>2650</v>
      </c>
      <c r="AB4" s="3182" t="s">
        <v>2651</v>
      </c>
      <c r="AC4" s="3181" t="s">
        <v>2652</v>
      </c>
    </row>
    <row r="5" spans="1:29" ht="15">
      <c r="A5" s="404"/>
      <c r="B5" s="405"/>
      <c r="C5" s="3203" t="s">
        <v>2545</v>
      </c>
      <c r="D5" s="3204"/>
      <c r="E5" s="3210" t="s">
        <v>2546</v>
      </c>
      <c r="F5" s="3211"/>
      <c r="G5" s="3203" t="s">
        <v>2547</v>
      </c>
      <c r="H5" s="3204"/>
      <c r="I5" s="3203" t="s">
        <v>2548</v>
      </c>
      <c r="J5" s="3204"/>
      <c r="K5" s="610"/>
      <c r="L5" s="1133"/>
      <c r="M5" s="1134"/>
      <c r="N5" s="1134"/>
      <c r="O5" s="1134"/>
      <c r="P5" s="3190"/>
      <c r="Q5" s="3191"/>
      <c r="R5" s="3196"/>
      <c r="S5" s="3197"/>
      <c r="T5" s="3196"/>
      <c r="U5" s="3197"/>
      <c r="V5" s="3200"/>
      <c r="W5" s="3200"/>
      <c r="X5" s="1816"/>
      <c r="Y5" s="3196"/>
      <c r="Z5" s="3197"/>
      <c r="AA5" s="3182"/>
      <c r="AB5" s="3182"/>
      <c r="AC5" s="3182"/>
    </row>
    <row r="6" spans="1:29" ht="15.75" thickBot="1">
      <c r="A6" s="406"/>
      <c r="B6" s="407"/>
      <c r="C6" s="3232" t="s">
        <v>2800</v>
      </c>
      <c r="D6" s="3233"/>
      <c r="E6" s="3234" t="s">
        <v>2800</v>
      </c>
      <c r="F6" s="3235"/>
      <c r="G6" s="3232" t="s">
        <v>2800</v>
      </c>
      <c r="H6" s="3233"/>
      <c r="I6" s="3232" t="s">
        <v>2800</v>
      </c>
      <c r="J6" s="3233"/>
      <c r="K6" s="610" t="s">
        <v>2550</v>
      </c>
      <c r="L6" s="1133"/>
      <c r="M6" s="1134"/>
      <c r="N6" s="1134"/>
      <c r="O6" s="1134"/>
      <c r="P6" s="3192"/>
      <c r="Q6" s="3193"/>
      <c r="R6" s="3196"/>
      <c r="S6" s="3197"/>
      <c r="T6" s="3198"/>
      <c r="U6" s="3199"/>
      <c r="V6" s="3200"/>
      <c r="W6" s="3200"/>
      <c r="X6" s="1816"/>
      <c r="Y6" s="3198"/>
      <c r="Z6" s="3199"/>
      <c r="AA6" s="3183"/>
      <c r="AB6" s="3183"/>
      <c r="AC6" s="3183"/>
    </row>
    <row r="7" spans="1:29" s="117" customFormat="1" ht="15.75" thickBot="1">
      <c r="A7" s="408" t="s">
        <v>2551</v>
      </c>
      <c r="B7" s="409"/>
      <c r="C7" s="410">
        <f>'数据-取费表'!B2</f>
        <v>43465</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5" t="s">
        <v>2552</v>
      </c>
      <c r="Q7" s="3207"/>
      <c r="R7" s="770" t="s">
        <v>17</v>
      </c>
      <c r="S7" s="771">
        <f t="shared" ref="S7:S15" si="0">F7</f>
        <v>0</v>
      </c>
      <c r="T7" s="770" t="s">
        <v>17</v>
      </c>
      <c r="U7" s="771">
        <f t="shared" ref="U7:U15" si="1">H7</f>
        <v>0</v>
      </c>
      <c r="V7" s="770" t="s">
        <v>17</v>
      </c>
      <c r="W7" s="771">
        <f t="shared" ref="W7:W15" si="2">J7</f>
        <v>0</v>
      </c>
      <c r="X7" s="772"/>
      <c r="Y7" s="3205" t="s">
        <v>2552</v>
      </c>
      <c r="Z7" s="3206"/>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2555</v>
      </c>
      <c r="Q8" s="3206"/>
      <c r="R8" s="770" t="s">
        <v>17</v>
      </c>
      <c r="S8" s="771">
        <f t="shared" si="0"/>
        <v>0</v>
      </c>
      <c r="T8" s="770" t="s">
        <v>17</v>
      </c>
      <c r="U8" s="771">
        <f t="shared" si="1"/>
        <v>0</v>
      </c>
      <c r="V8" s="770" t="s">
        <v>17</v>
      </c>
      <c r="W8" s="771">
        <f t="shared" si="2"/>
        <v>0</v>
      </c>
      <c r="X8" s="772"/>
      <c r="Y8" s="3205" t="s">
        <v>2555</v>
      </c>
      <c r="Z8" s="3206"/>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9" t="s">
        <v>2558</v>
      </c>
      <c r="Q9" s="1798" t="str">
        <f t="shared" ref="Q9:Q15" si="6">B9</f>
        <v>用途</v>
      </c>
      <c r="R9" s="770" t="s">
        <v>17</v>
      </c>
      <c r="S9" s="771">
        <f t="shared" si="0"/>
        <v>100</v>
      </c>
      <c r="T9" s="770" t="s">
        <v>17</v>
      </c>
      <c r="U9" s="771">
        <f t="shared" si="1"/>
        <v>100</v>
      </c>
      <c r="V9" s="770" t="s">
        <v>17</v>
      </c>
      <c r="W9" s="771">
        <f t="shared" si="2"/>
        <v>100</v>
      </c>
      <c r="X9" s="772"/>
      <c r="Y9" s="2994"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t="e">
        <f>ROUND(100/'数据-取费表'!G16,0)</f>
        <v>#DIV/0!</v>
      </c>
      <c r="G10" s="432"/>
      <c r="H10" s="136" t="e">
        <f>ROUND(100/'数据-取费表'!G16,0)</f>
        <v>#DIV/0!</v>
      </c>
      <c r="I10" s="432"/>
      <c r="J10" s="136" t="e">
        <f>ROUND(100/'数据-取费表'!G16,0)</f>
        <v>#DIV/0!</v>
      </c>
      <c r="K10" s="672"/>
      <c r="L10" s="1138"/>
      <c r="M10" s="1139"/>
      <c r="N10" s="1139"/>
      <c r="O10" s="1140"/>
      <c r="P10" s="3169"/>
      <c r="Q10" s="1798" t="str">
        <f t="shared" si="6"/>
        <v>土地使用年限（年）</v>
      </c>
      <c r="R10" s="770" t="s">
        <v>17</v>
      </c>
      <c r="S10" s="771" t="e">
        <f t="shared" si="0"/>
        <v>#DIV/0!</v>
      </c>
      <c r="T10" s="770" t="s">
        <v>17</v>
      </c>
      <c r="U10" s="771" t="e">
        <f t="shared" si="1"/>
        <v>#DIV/0!</v>
      </c>
      <c r="V10" s="770" t="s">
        <v>17</v>
      </c>
      <c r="W10" s="771" t="e">
        <f t="shared" si="2"/>
        <v>#DIV/0!</v>
      </c>
      <c r="X10" s="772"/>
      <c r="Y10" s="2994"/>
      <c r="Z10" s="55" t="str">
        <f t="shared" si="7"/>
        <v>土地使用年限（年）</v>
      </c>
      <c r="AA10" s="773" t="e">
        <f t="shared" si="3"/>
        <v>#DIV/0!</v>
      </c>
      <c r="AB10" s="773" t="e">
        <f t="shared" si="4"/>
        <v>#DIV/0!</v>
      </c>
      <c r="AC10" s="773" t="e">
        <f t="shared" si="5"/>
        <v>#DIV/0!</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299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299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299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2994"/>
      <c r="Z14" s="55">
        <f t="shared" si="7"/>
        <v>111</v>
      </c>
      <c r="AA14" s="773">
        <f t="shared" si="3"/>
        <v>1</v>
      </c>
      <c r="AB14" s="773">
        <f t="shared" si="4"/>
        <v>1</v>
      </c>
      <c r="AC14" s="773">
        <f t="shared" si="5"/>
        <v>1</v>
      </c>
    </row>
    <row r="15" spans="1:29" ht="57">
      <c r="A15" s="440" t="s">
        <v>2562</v>
      </c>
      <c r="B15" s="629" t="s">
        <v>2801</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1" t="s">
        <v>2563</v>
      </c>
      <c r="Q15" s="1813" t="str">
        <f t="shared" si="6"/>
        <v>产业集聚程度</v>
      </c>
      <c r="R15" s="774" t="s">
        <v>17</v>
      </c>
      <c r="S15" s="775">
        <f t="shared" si="0"/>
        <v>100</v>
      </c>
      <c r="T15" s="774" t="s">
        <v>17</v>
      </c>
      <c r="U15" s="775">
        <f t="shared" si="1"/>
        <v>100</v>
      </c>
      <c r="V15" s="774" t="s">
        <v>17</v>
      </c>
      <c r="W15" s="775">
        <f t="shared" si="2"/>
        <v>100</v>
      </c>
      <c r="X15" s="1816"/>
      <c r="Y15" s="3171"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2"/>
      <c r="Q16" s="1813"/>
      <c r="R16" s="774"/>
      <c r="S16" s="775"/>
      <c r="T16" s="774"/>
      <c r="U16" s="775"/>
      <c r="V16" s="774"/>
      <c r="W16" s="775"/>
      <c r="X16" s="1816"/>
      <c r="Y16" s="3172"/>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2"/>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2"/>
      <c r="Q18" s="1813"/>
      <c r="R18" s="774"/>
      <c r="S18" s="775"/>
      <c r="T18" s="774"/>
      <c r="U18" s="775"/>
      <c r="V18" s="774"/>
      <c r="W18" s="775"/>
      <c r="X18" s="1816"/>
      <c r="Y18" s="3172"/>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2"/>
      <c r="Q19" s="1813" t="str">
        <f t="shared" ref="Q19:Q33" si="8">B19</f>
        <v>区域土地利用方向</v>
      </c>
      <c r="R19" s="774" t="s">
        <v>17</v>
      </c>
      <c r="S19" s="775">
        <f>F19</f>
        <v>100</v>
      </c>
      <c r="T19" s="774" t="s">
        <v>17</v>
      </c>
      <c r="U19" s="775">
        <f>H19</f>
        <v>100</v>
      </c>
      <c r="V19" s="774" t="s">
        <v>17</v>
      </c>
      <c r="W19" s="775">
        <f>J19</f>
        <v>100</v>
      </c>
      <c r="X19" s="1816"/>
      <c r="Y19" s="3172"/>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2"/>
      <c r="Q20" s="1813"/>
      <c r="R20" s="774"/>
      <c r="S20" s="775"/>
      <c r="T20" s="774"/>
      <c r="U20" s="775"/>
      <c r="V20" s="774"/>
      <c r="W20" s="775"/>
      <c r="X20" s="1816"/>
      <c r="Y20" s="3172"/>
      <c r="Z20" s="1817"/>
      <c r="AA20" s="1814"/>
      <c r="AB20" s="1814"/>
      <c r="AC20" s="1814"/>
    </row>
    <row r="21" spans="1:29" ht="71.25">
      <c r="A21" s="404"/>
      <c r="B21" s="631" t="s">
        <v>2802</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2"/>
      <c r="Q21" s="1813" t="str">
        <f t="shared" si="8"/>
        <v>环境状况</v>
      </c>
      <c r="R21" s="774" t="s">
        <v>17</v>
      </c>
      <c r="S21" s="775">
        <f>F21</f>
        <v>100</v>
      </c>
      <c r="T21" s="774" t="s">
        <v>17</v>
      </c>
      <c r="U21" s="775">
        <f>H21</f>
        <v>100</v>
      </c>
      <c r="V21" s="774" t="s">
        <v>17</v>
      </c>
      <c r="W21" s="775">
        <f>J21</f>
        <v>100</v>
      </c>
      <c r="X21" s="1816"/>
      <c r="Y21" s="3172"/>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2"/>
      <c r="Q22" s="1813"/>
      <c r="R22" s="774"/>
      <c r="S22" s="775"/>
      <c r="T22" s="774"/>
      <c r="U22" s="775"/>
      <c r="V22" s="774"/>
      <c r="W22" s="775"/>
      <c r="X22" s="1816"/>
      <c r="Y22" s="3172"/>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2"/>
      <c r="Q23" s="1798" t="str">
        <f t="shared" si="8"/>
        <v>公共配套设施</v>
      </c>
      <c r="R23" s="770" t="s">
        <v>17</v>
      </c>
      <c r="S23" s="771">
        <f>F23</f>
        <v>100</v>
      </c>
      <c r="T23" s="770" t="s">
        <v>17</v>
      </c>
      <c r="U23" s="771">
        <f>H23</f>
        <v>100</v>
      </c>
      <c r="V23" s="770" t="s">
        <v>17</v>
      </c>
      <c r="W23" s="771">
        <f>J23</f>
        <v>100</v>
      </c>
      <c r="X23" s="772"/>
      <c r="Y23" s="3172"/>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2"/>
      <c r="Q24" s="1798"/>
      <c r="R24" s="770"/>
      <c r="S24" s="771"/>
      <c r="T24" s="770"/>
      <c r="U24" s="771"/>
      <c r="V24" s="770"/>
      <c r="W24" s="771"/>
      <c r="X24" s="772"/>
      <c r="Y24" s="3172"/>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2"/>
      <c r="Q25" s="1798"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2"/>
      <c r="Q26" s="1798"/>
      <c r="R26" s="770"/>
      <c r="S26" s="771"/>
      <c r="T26" s="770"/>
      <c r="U26" s="771"/>
      <c r="V26" s="770"/>
      <c r="W26" s="771"/>
      <c r="X26" s="772"/>
      <c r="Y26" s="3172"/>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2"/>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2"/>
      <c r="Q28" s="1813" t="str">
        <f t="shared" si="8"/>
        <v>毗邻道路的类型与等级</v>
      </c>
      <c r="R28" s="774" t="s">
        <v>17</v>
      </c>
      <c r="S28" s="775">
        <f t="shared" si="10"/>
        <v>100</v>
      </c>
      <c r="T28" s="774" t="s">
        <v>17</v>
      </c>
      <c r="U28" s="775">
        <f t="shared" si="11"/>
        <v>100</v>
      </c>
      <c r="V28" s="774" t="s">
        <v>17</v>
      </c>
      <c r="W28" s="775">
        <f t="shared" si="12"/>
        <v>100</v>
      </c>
      <c r="X28" s="1816"/>
      <c r="Y28" s="3172"/>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2"/>
      <c r="Q29" s="1813"/>
      <c r="R29" s="774"/>
      <c r="S29" s="775"/>
      <c r="T29" s="774"/>
      <c r="U29" s="775"/>
      <c r="V29" s="774"/>
      <c r="W29" s="775"/>
      <c r="X29" s="1816"/>
      <c r="Y29" s="3172"/>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2"/>
      <c r="Q30" s="1813" t="str">
        <f t="shared" si="8"/>
        <v>土地级别</v>
      </c>
      <c r="R30" s="774" t="s">
        <v>17</v>
      </c>
      <c r="S30" s="775">
        <f t="shared" si="10"/>
        <v>100</v>
      </c>
      <c r="T30" s="774" t="s">
        <v>17</v>
      </c>
      <c r="U30" s="775">
        <f t="shared" si="11"/>
        <v>100</v>
      </c>
      <c r="V30" s="774" t="s">
        <v>17</v>
      </c>
      <c r="W30" s="775">
        <f t="shared" si="12"/>
        <v>100</v>
      </c>
      <c r="X30" s="1816"/>
      <c r="Y30" s="3172"/>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2"/>
      <c r="Q31" s="1813">
        <f t="shared" si="8"/>
        <v>111</v>
      </c>
      <c r="R31" s="774" t="s">
        <v>17</v>
      </c>
      <c r="S31" s="775">
        <f t="shared" si="10"/>
        <v>100</v>
      </c>
      <c r="T31" s="774" t="s">
        <v>17</v>
      </c>
      <c r="U31" s="775">
        <f t="shared" si="11"/>
        <v>100</v>
      </c>
      <c r="V31" s="774" t="s">
        <v>17</v>
      </c>
      <c r="W31" s="775">
        <f t="shared" si="12"/>
        <v>100</v>
      </c>
      <c r="X31" s="1816"/>
      <c r="Y31" s="3172"/>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7" t="s">
        <v>2568</v>
      </c>
      <c r="Q32" s="1813">
        <f t="shared" si="8"/>
        <v>111</v>
      </c>
      <c r="R32" s="774" t="s">
        <v>17</v>
      </c>
      <c r="S32" s="775">
        <f t="shared" si="10"/>
        <v>100</v>
      </c>
      <c r="T32" s="774" t="s">
        <v>17</v>
      </c>
      <c r="U32" s="775">
        <f t="shared" si="11"/>
        <v>100</v>
      </c>
      <c r="V32" s="774" t="s">
        <v>17</v>
      </c>
      <c r="W32" s="775">
        <f t="shared" si="12"/>
        <v>100</v>
      </c>
      <c r="X32" s="1816"/>
      <c r="Y32" s="3176"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6"/>
      <c r="Q33" s="1813">
        <f t="shared" si="8"/>
        <v>111</v>
      </c>
      <c r="R33" s="777" t="s">
        <v>17</v>
      </c>
      <c r="S33" s="778">
        <f t="shared" si="10"/>
        <v>100</v>
      </c>
      <c r="T33" s="777" t="s">
        <v>17</v>
      </c>
      <c r="U33" s="778">
        <f t="shared" si="11"/>
        <v>100</v>
      </c>
      <c r="V33" s="777" t="s">
        <v>17</v>
      </c>
      <c r="W33" s="778">
        <f t="shared" si="12"/>
        <v>100</v>
      </c>
      <c r="X33" s="779"/>
      <c r="Y33" s="3176"/>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6"/>
      <c r="Q34" s="1813" t="str">
        <f>B34</f>
        <v>宗地面积</v>
      </c>
      <c r="R34" s="774" t="s">
        <v>17</v>
      </c>
      <c r="S34" s="775" t="e">
        <f t="shared" si="10"/>
        <v>#N/A</v>
      </c>
      <c r="T34" s="774" t="s">
        <v>17</v>
      </c>
      <c r="U34" s="775" t="e">
        <f t="shared" si="11"/>
        <v>#N/A</v>
      </c>
      <c r="V34" s="774" t="s">
        <v>17</v>
      </c>
      <c r="W34" s="775" t="e">
        <f t="shared" si="12"/>
        <v>#N/A</v>
      </c>
      <c r="X34" s="1816"/>
      <c r="Y34" s="3176"/>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6"/>
      <c r="Q35" s="1813" t="str">
        <f t="shared" ref="Q35:Q40" si="14">B35</f>
        <v>宗地形状</v>
      </c>
      <c r="R35" s="774" t="s">
        <v>17</v>
      </c>
      <c r="S35" s="775">
        <f t="shared" si="10"/>
        <v>100</v>
      </c>
      <c r="T35" s="774" t="s">
        <v>17</v>
      </c>
      <c r="U35" s="775">
        <f t="shared" si="11"/>
        <v>100</v>
      </c>
      <c r="V35" s="774" t="s">
        <v>17</v>
      </c>
      <c r="W35" s="775">
        <f t="shared" si="12"/>
        <v>100</v>
      </c>
      <c r="X35" s="1816"/>
      <c r="Y35" s="3176"/>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6"/>
      <c r="Q36" s="1813"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6" t="s">
        <v>2568</v>
      </c>
      <c r="Q37" s="1813" t="str">
        <f t="shared" si="14"/>
        <v>工程地质条件</v>
      </c>
      <c r="R37" s="774" t="s">
        <v>17</v>
      </c>
      <c r="S37" s="775">
        <f t="shared" si="10"/>
        <v>100</v>
      </c>
      <c r="T37" s="774" t="s">
        <v>17</v>
      </c>
      <c r="U37" s="775">
        <f t="shared" si="11"/>
        <v>100</v>
      </c>
      <c r="V37" s="774" t="s">
        <v>17</v>
      </c>
      <c r="W37" s="775">
        <f t="shared" si="12"/>
        <v>100</v>
      </c>
      <c r="X37" s="1816"/>
      <c r="Y37" s="3176"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6"/>
      <c r="Q38" s="1813">
        <f t="shared" si="14"/>
        <v>111</v>
      </c>
      <c r="R38" s="774" t="s">
        <v>17</v>
      </c>
      <c r="S38" s="775">
        <f t="shared" si="10"/>
        <v>100</v>
      </c>
      <c r="T38" s="774" t="s">
        <v>17</v>
      </c>
      <c r="U38" s="775">
        <f t="shared" si="11"/>
        <v>100</v>
      </c>
      <c r="V38" s="774" t="s">
        <v>17</v>
      </c>
      <c r="W38" s="775">
        <f t="shared" si="12"/>
        <v>100</v>
      </c>
      <c r="X38" s="1816"/>
      <c r="Y38" s="317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6"/>
      <c r="Q39" s="1813">
        <f t="shared" si="14"/>
        <v>111</v>
      </c>
      <c r="R39" s="774" t="s">
        <v>17</v>
      </c>
      <c r="S39" s="775">
        <f t="shared" si="10"/>
        <v>100</v>
      </c>
      <c r="T39" s="774" t="s">
        <v>17</v>
      </c>
      <c r="U39" s="775">
        <f t="shared" si="11"/>
        <v>100</v>
      </c>
      <c r="V39" s="774" t="s">
        <v>17</v>
      </c>
      <c r="W39" s="775">
        <f t="shared" si="12"/>
        <v>100</v>
      </c>
      <c r="X39" s="1816"/>
      <c r="Y39" s="3176"/>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6"/>
      <c r="Q40" s="1813">
        <f t="shared" si="14"/>
        <v>111</v>
      </c>
      <c r="R40" s="777" t="s">
        <v>17</v>
      </c>
      <c r="S40" s="778">
        <f t="shared" si="10"/>
        <v>100</v>
      </c>
      <c r="T40" s="777" t="s">
        <v>17</v>
      </c>
      <c r="U40" s="778">
        <f t="shared" si="11"/>
        <v>100</v>
      </c>
      <c r="V40" s="777" t="s">
        <v>17</v>
      </c>
      <c r="W40" s="778">
        <f t="shared" si="12"/>
        <v>100</v>
      </c>
      <c r="X40" s="779"/>
      <c r="Y40" s="3176"/>
      <c r="Z40" s="780">
        <f t="shared" si="13"/>
        <v>111</v>
      </c>
      <c r="AA40" s="1814">
        <f t="shared" si="3"/>
        <v>1</v>
      </c>
      <c r="AB40" s="1814">
        <f t="shared" si="4"/>
        <v>1</v>
      </c>
      <c r="AC40" s="1814">
        <f t="shared" si="5"/>
        <v>1</v>
      </c>
    </row>
    <row r="41" spans="1:29" ht="15">
      <c r="A41" s="479" t="s">
        <v>2723</v>
      </c>
      <c r="B41" s="2710" t="s">
        <v>2803</v>
      </c>
      <c r="C41" s="682" t="s">
        <v>1</v>
      </c>
      <c r="D41" s="481"/>
      <c r="E41" s="482"/>
      <c r="F41" s="483"/>
      <c r="G41" s="484"/>
      <c r="H41" s="485"/>
      <c r="I41" s="482"/>
      <c r="J41" s="485"/>
      <c r="K41" s="783"/>
      <c r="L41" s="1146"/>
      <c r="M41" s="1134"/>
      <c r="N41" s="1134"/>
      <c r="O41" s="1147"/>
      <c r="P41" s="3169" t="str">
        <f>A41</f>
        <v>成交单价</v>
      </c>
      <c r="Q41" s="3169"/>
      <c r="R41" s="3200">
        <f>E41</f>
        <v>0</v>
      </c>
      <c r="S41" s="3200"/>
      <c r="T41" s="3200">
        <f>G41</f>
        <v>0</v>
      </c>
      <c r="U41" s="3200"/>
      <c r="V41" s="3200">
        <f>I41</f>
        <v>0</v>
      </c>
      <c r="W41" s="3200"/>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69" t="str">
        <f>A42</f>
        <v>比较价值（元/平方米）</v>
      </c>
      <c r="Q42" s="3169"/>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66" t="str">
        <f>A43</f>
        <v>估价对象XX用房的比较价值（楼面单价，元/平方米）</v>
      </c>
      <c r="Q43" s="3167"/>
      <c r="R43" s="3229" t="e">
        <f>ROUND(AVERAGE(R42:V42),0)</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1" t="s">
        <v>2763</v>
      </c>
      <c r="D50" s="2712" t="s">
        <v>2764</v>
      </c>
      <c r="E50" s="686" t="s">
        <v>2765</v>
      </c>
      <c r="F50" s="687" t="s">
        <v>2766</v>
      </c>
      <c r="G50" s="3184" t="s">
        <v>2767</v>
      </c>
      <c r="H50" s="3230"/>
      <c r="I50" s="1817" t="s">
        <v>2804</v>
      </c>
      <c r="J50" s="1817">
        <f>项目基本情况!F35</f>
        <v>0</v>
      </c>
      <c r="K50" s="2714" t="s">
        <v>2769</v>
      </c>
      <c r="L50" s="1109"/>
      <c r="M50" s="1147"/>
      <c r="N50" s="1147"/>
      <c r="O50" s="1147"/>
    </row>
    <row r="51" spans="1:17" s="692" customFormat="1">
      <c r="A51" s="688" t="s">
        <v>2770</v>
      </c>
      <c r="B51" s="689" t="e">
        <f>C43</f>
        <v>#DIV/0!</v>
      </c>
      <c r="C51" s="690">
        <v>1</v>
      </c>
      <c r="D51" s="1166">
        <v>1</v>
      </c>
      <c r="E51" s="690">
        <f>'数据-汇总表'!E8+'数据-汇总表'!E9</f>
        <v>0</v>
      </c>
      <c r="F51" s="691" t="e">
        <f t="shared" ref="F51:F60" si="15">ROUND(B51*E51/10000,0)</f>
        <v>#DIV/0!</v>
      </c>
      <c r="G51" s="3180"/>
      <c r="H51" s="3169"/>
      <c r="I51" s="945">
        <v>1</v>
      </c>
      <c r="J51" s="945">
        <v>1</v>
      </c>
      <c r="K51" s="1148"/>
      <c r="L51" s="944"/>
      <c r="M51" s="944"/>
      <c r="N51" s="944"/>
      <c r="O51" s="944"/>
    </row>
    <row r="52" spans="1:17" s="692" customFormat="1">
      <c r="A52" s="693" t="s">
        <v>2771</v>
      </c>
      <c r="B52" s="262" t="e">
        <f>ROUND($C$43*C52*D52,0)</f>
        <v>#DIV/0!</v>
      </c>
      <c r="C52" s="200">
        <f t="shared" ref="C52:C60" si="16">IF($C$50="北京市系数",I52,J52)</f>
        <v>0</v>
      </c>
      <c r="D52" s="1167">
        <v>0.25</v>
      </c>
      <c r="E52" s="694"/>
      <c r="F52" s="691" t="e">
        <f t="shared" si="15"/>
        <v>#DIV/0!</v>
      </c>
      <c r="G52" s="3231" t="s">
        <v>2772</v>
      </c>
      <c r="H52" s="1107">
        <f>项目基本情况!B37</f>
        <v>0</v>
      </c>
      <c r="I52" s="945">
        <f>SUMIF(修正!A45:A56,H52,修正!B45:B56)</f>
        <v>0</v>
      </c>
      <c r="J52" s="946"/>
      <c r="K52" s="1147"/>
      <c r="L52" s="944"/>
      <c r="M52" s="944"/>
      <c r="N52" s="944"/>
      <c r="O52" s="944"/>
    </row>
    <row r="53" spans="1:17" s="692" customFormat="1">
      <c r="A53" s="693" t="s">
        <v>2773</v>
      </c>
      <c r="B53" s="262" t="e">
        <f t="shared" ref="B53:B60" si="17">ROUND($C$43*C53*D53,0)</f>
        <v>#DIV/0!</v>
      </c>
      <c r="C53" s="200">
        <f t="shared" si="16"/>
        <v>0</v>
      </c>
      <c r="D53" s="1167">
        <v>0.25</v>
      </c>
      <c r="E53" s="694"/>
      <c r="F53" s="691" t="e">
        <f t="shared" si="15"/>
        <v>#DIV/0!</v>
      </c>
      <c r="G53" s="3231"/>
      <c r="H53" s="1107">
        <f>项目基本情况!B37</f>
        <v>0</v>
      </c>
      <c r="I53" s="945">
        <f>SUMIF(修正!A45:A56,H53,修正!C45:C56)</f>
        <v>0</v>
      </c>
      <c r="J53" s="946"/>
      <c r="K53" s="1148"/>
      <c r="L53" s="944"/>
      <c r="M53" s="944"/>
      <c r="N53" s="944"/>
      <c r="O53" s="944"/>
    </row>
    <row r="54" spans="1:17" s="692" customFormat="1">
      <c r="A54" s="693" t="s">
        <v>2774</v>
      </c>
      <c r="B54" s="262" t="e">
        <f t="shared" si="17"/>
        <v>#DIV/0!</v>
      </c>
      <c r="C54" s="200">
        <f t="shared" si="16"/>
        <v>0</v>
      </c>
      <c r="D54" s="1167">
        <v>0.25</v>
      </c>
      <c r="E54" s="694"/>
      <c r="F54" s="691" t="e">
        <f t="shared" si="15"/>
        <v>#DIV/0!</v>
      </c>
      <c r="G54" s="3231"/>
      <c r="H54" s="1107">
        <f>项目基本情况!B37</f>
        <v>0</v>
      </c>
      <c r="I54" s="945">
        <f>SUMIF(修正!A45:A56,H54,修正!D45:D56)</f>
        <v>0</v>
      </c>
      <c r="J54" s="946"/>
      <c r="K54" s="1147"/>
      <c r="L54" s="944"/>
      <c r="M54" s="944"/>
      <c r="N54" s="944"/>
      <c r="O54" s="944"/>
    </row>
    <row r="55" spans="1:17" s="692" customFormat="1">
      <c r="A55" s="693" t="s">
        <v>2775</v>
      </c>
      <c r="B55" s="262" t="e">
        <f t="shared" si="17"/>
        <v>#DIV/0!</v>
      </c>
      <c r="C55" s="200">
        <f t="shared" si="16"/>
        <v>0</v>
      </c>
      <c r="D55" s="1167">
        <v>0.25</v>
      </c>
      <c r="E55" s="694"/>
      <c r="F55" s="691" t="e">
        <f t="shared" si="15"/>
        <v>#DIV/0!</v>
      </c>
      <c r="G55" s="3231"/>
      <c r="H55" s="1107">
        <f>项目基本情况!B37</f>
        <v>0</v>
      </c>
      <c r="I55" s="945">
        <f>SUMIF(修正!A45:A56,H55,修正!E45:E56)</f>
        <v>0</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5" t="s">
        <v>2777</v>
      </c>
      <c r="H56" s="1107" t="str">
        <f>项目基本情况!C37</f>
        <v>三级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v>
      </c>
      <c r="D59" s="1167">
        <v>0.25</v>
      </c>
      <c r="E59" s="261">
        <f>'数据-汇总表'!E14</f>
        <v>0</v>
      </c>
      <c r="F59" s="691" t="e">
        <f t="shared" si="15"/>
        <v>#DIV/0!</v>
      </c>
      <c r="G59" s="2715" t="s">
        <v>2772</v>
      </c>
      <c r="H59" s="1107">
        <f>项目基本情况!B37</f>
        <v>0</v>
      </c>
      <c r="I59" s="945">
        <f>SUMIF(修正!A45:A56,H59,修正!H45:H56)</f>
        <v>0</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0</v>
      </c>
      <c r="F60" s="691" t="e">
        <f t="shared" si="15"/>
        <v>#DIV/0!</v>
      </c>
      <c r="G60" s="2716" t="s">
        <v>2777</v>
      </c>
      <c r="H60" s="1117" t="str">
        <f>项目基本情况!C37</f>
        <v>三级</v>
      </c>
      <c r="I60" s="945">
        <f>SUMIF(修正!A45:A56,H60,修正!H45:H56)</f>
        <v>0.2</v>
      </c>
      <c r="J60" s="946"/>
      <c r="K60" s="1147"/>
      <c r="L60" s="944"/>
      <c r="M60" s="944"/>
      <c r="N60" s="944"/>
      <c r="O60" s="944"/>
    </row>
    <row r="61" spans="1:17" s="692" customFormat="1" ht="15" thickBot="1">
      <c r="A61" s="695" t="s">
        <v>2784</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2785</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2" t="s">
        <v>2805</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90" zoomScaleNormal="90" zoomScaleSheetLayoutView="96" workbookViewId="0">
      <selection activeCell="I20" sqref="I20"/>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2807</v>
      </c>
      <c r="B1" s="241"/>
      <c r="C1" s="245" t="s">
        <v>2808</v>
      </c>
      <c r="D1" s="388">
        <f>SUM(D29:D30,D33:D39)</f>
        <v>13560</v>
      </c>
      <c r="E1" s="2723"/>
      <c r="F1" s="2723"/>
      <c r="G1" s="2723"/>
      <c r="H1" s="2723"/>
      <c r="I1" s="2723"/>
      <c r="J1" s="2723"/>
      <c r="K1" s="1373"/>
      <c r="L1" s="2724" t="s">
        <v>2809</v>
      </c>
      <c r="M1" s="1083">
        <f>SUMPRODUCT((区片价!B5:B9=I2)*(区片价!C3:F3=E2)*(区片价!C5:F9))</f>
        <v>0</v>
      </c>
      <c r="N1" s="1086">
        <f>SUMPRODUCT((因素修正幅度!B5:B9=I2)*(因素修正幅度!C3:F3=E2)*(因素修正幅度!C5:F9))</f>
        <v>0</v>
      </c>
      <c r="O1" s="2725"/>
      <c r="P1" s="2725"/>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52885</v>
      </c>
      <c r="C2" s="2727" t="s">
        <v>2816</v>
      </c>
      <c r="D2" s="2728" t="s">
        <v>2817</v>
      </c>
      <c r="E2" s="2729" t="s">
        <v>27</v>
      </c>
      <c r="F2" s="2728" t="s">
        <v>2818</v>
      </c>
      <c r="G2" s="2730" t="str">
        <f>IF(E2="商业",项目基本情况!B37,IF(E2="办公",项目基本情况!C37,IF(E2="住宅",项目基本情况!D37,项目基本情况!E37)))</f>
        <v>三级</v>
      </c>
      <c r="H2" s="2728" t="s">
        <v>2819</v>
      </c>
      <c r="I2" s="2730" t="str">
        <f>IF(E2="商业",项目基本情况!B38,IF(E2="办公",项目基本情况!C38,IF(E2="住宅",项目基本情况!D38,项目基本情况!E38)))</f>
        <v>Ⅲ—15</v>
      </c>
      <c r="J2" s="2731"/>
      <c r="K2" s="1373"/>
      <c r="L2" s="2732"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2.7804000000000002</v>
      </c>
      <c r="T2" s="1605">
        <f ca="1">ROUND($C$5*$C$18*$C$19*$C$20*S2*$C$24,0)</f>
        <v>56534</v>
      </c>
      <c r="U2" s="1606"/>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39001</v>
      </c>
      <c r="C3" s="2727" t="s">
        <v>2822</v>
      </c>
      <c r="D3" s="2728" t="s">
        <v>2823</v>
      </c>
      <c r="E3" s="2733" t="s">
        <v>3064</v>
      </c>
      <c r="F3" s="2734" t="s">
        <v>2824</v>
      </c>
      <c r="G3" s="916">
        <f>IF(F3="宗地容积率",'数据-汇总表'!I4,IF(F3="估价对象容积率",'数据-汇总表'!I6,'数据-汇总表'!I7))</f>
        <v>0.67</v>
      </c>
      <c r="H3" s="198" t="s">
        <v>2825</v>
      </c>
      <c r="I3" s="947"/>
      <c r="J3" s="2731" t="s">
        <v>2826</v>
      </c>
      <c r="K3" s="1373"/>
      <c r="L3" s="2732" t="s">
        <v>2827</v>
      </c>
      <c r="M3" s="1084">
        <f>SUMPRODUCT((区片价!B29:B48=I2)*(区片价!C3:F3=E2)*(区片价!C29:F48))</f>
        <v>19230</v>
      </c>
      <c r="N3" s="1086">
        <f>SUMPRODUCT((因素修正幅度!B29:B48=I2)*(因素修正幅度!C3:F3=E2)*(因素修正幅度!C29:F48))</f>
        <v>9.7000000000000003E-2</v>
      </c>
      <c r="O3" s="1373"/>
      <c r="P3" s="1373"/>
      <c r="Q3" s="1373"/>
      <c r="R3" s="1605">
        <v>2</v>
      </c>
      <c r="S3" s="1605">
        <f>ROUND(IF(G3&gt;1,IF(R3&lt;7,SUMPRODUCT((B93:B98=R3)*(C92:N92=G2)*(C93:N98)),SUMIF(C92:N92,G2,C100:N100)),IF(R3&lt;7,SUMPRODUCT((B102:B107=R3)*(C92:N92=G2)*(C102:N107)),SUMIF(C92:N92,G2,C109:N109))),4)</f>
        <v>1.9958</v>
      </c>
      <c r="T3" s="1605">
        <f t="shared" ref="T3:T16" ca="1" si="0">ROUND($C$5*$C$18*$C$19*$C$20*S3*$C$24,0)</f>
        <v>40581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9"/>
      <c r="B4" s="3240"/>
      <c r="C4" s="3240"/>
      <c r="D4" s="3241"/>
      <c r="E4" s="3241"/>
      <c r="F4" s="3241"/>
      <c r="G4" s="3241"/>
      <c r="H4" s="3241"/>
      <c r="I4" s="3241"/>
      <c r="J4" s="3242"/>
      <c r="K4" s="1373"/>
      <c r="L4" s="2732"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1.6101000000000001</v>
      </c>
      <c r="T4" s="1605">
        <f t="shared" ca="1" si="0"/>
        <v>32738</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2829</v>
      </c>
      <c r="C5" s="917">
        <f>ROUND(IF(E2="商业",IF(F16="增加",C6*C7+C16,C6*C7-C16),IF(E2="住宅",IF(F16="增加",C6*C12+C16,C6*C12-C16),IF(F16="增加",C6+C16,C6-C16))),0)</f>
        <v>19230</v>
      </c>
      <c r="D5" s="1790">
        <f>ROUND(IF(F16="增加",C6+C16,C6-C16),0)</f>
        <v>19230</v>
      </c>
      <c r="E5" s="1790"/>
      <c r="F5" s="2737"/>
      <c r="G5" s="2738"/>
      <c r="H5" s="2738"/>
      <c r="I5" s="2738"/>
      <c r="J5" s="2739"/>
      <c r="K5" s="2740"/>
      <c r="L5" s="2732"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1.2919</v>
      </c>
      <c r="T5" s="1605">
        <f t="shared" ca="1" si="0"/>
        <v>26268</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2831</v>
      </c>
      <c r="B6" s="2746" t="s">
        <v>2832</v>
      </c>
      <c r="C6" s="918">
        <f>SUMIF(L1:L12,G2,M1:M12)</f>
        <v>19230</v>
      </c>
      <c r="D6" s="2747" t="s">
        <v>2833</v>
      </c>
      <c r="E6" s="2748"/>
      <c r="F6" s="2748"/>
      <c r="G6" s="2749"/>
      <c r="H6" s="2749"/>
      <c r="I6" s="2749"/>
      <c r="J6" s="2750"/>
      <c r="K6" s="1845"/>
      <c r="L6" s="2732"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1.1001000000000001</v>
      </c>
      <c r="T6" s="1605">
        <f t="shared" ca="1" si="0"/>
        <v>22368</v>
      </c>
      <c r="U6" s="1606"/>
      <c r="V6" s="1605">
        <f t="shared" ca="1" si="1"/>
        <v>0</v>
      </c>
      <c r="W6" s="1609"/>
      <c r="X6" s="1609"/>
      <c r="Y6" s="1609"/>
      <c r="Z6" s="1609"/>
      <c r="AA6" s="1609"/>
      <c r="AB6" s="1609"/>
      <c r="AC6" s="2741"/>
      <c r="AD6" s="2742"/>
      <c r="AE6" s="2742"/>
      <c r="AF6" s="2742"/>
      <c r="AG6" s="2742"/>
      <c r="AH6" s="2742"/>
      <c r="AI6" s="2742"/>
      <c r="AJ6" s="2743"/>
    </row>
    <row r="7" spans="1:36" ht="24">
      <c r="A7" s="3243" t="str">
        <f>IF(E2="商业",IF(C8="不临58条商业街","",2),"")</f>
        <v/>
      </c>
      <c r="B7" s="2751" t="s">
        <v>2835</v>
      </c>
      <c r="C7" s="919" t="e">
        <f>IF(C8="不临58条商业街",1,ROUND(1+(1.6*E8+1.2*E9+0.8*E10+0.4*E11)*C9,4))</f>
        <v>#DIV/0!</v>
      </c>
      <c r="D7" s="2752" t="s">
        <v>2836</v>
      </c>
      <c r="E7" s="948"/>
      <c r="F7" s="2753"/>
      <c r="G7" s="2754"/>
      <c r="H7" s="2754"/>
      <c r="I7" s="2754"/>
      <c r="J7" s="2755"/>
      <c r="K7" s="1845"/>
      <c r="L7" s="2732"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0.96750000000000003</v>
      </c>
      <c r="T7" s="1605">
        <f t="shared" ca="1" si="0"/>
        <v>19672</v>
      </c>
      <c r="U7" s="1606"/>
      <c r="V7" s="1605">
        <f t="shared" ca="1" si="1"/>
        <v>0</v>
      </c>
      <c r="W7" s="1819" t="s">
        <v>2838</v>
      </c>
      <c r="X7" s="1607" t="str">
        <f>G2</f>
        <v>三级</v>
      </c>
      <c r="Y7" s="1607" t="s">
        <v>2839</v>
      </c>
      <c r="Z7" s="1608">
        <f>G3</f>
        <v>0.67</v>
      </c>
      <c r="AA7" s="1609"/>
      <c r="AB7" s="1609"/>
      <c r="AC7" s="1610"/>
      <c r="AD7" s="1611"/>
      <c r="AE7" s="1611"/>
      <c r="AF7" s="1611"/>
      <c r="AG7" s="1611"/>
      <c r="AH7" s="1611"/>
      <c r="AI7" s="1611"/>
      <c r="AJ7" s="1612"/>
    </row>
    <row r="8" spans="1:36" ht="15">
      <c r="A8" s="3244"/>
      <c r="B8" s="198" t="s">
        <v>2840</v>
      </c>
      <c r="C8" s="2756"/>
      <c r="D8" s="920" t="s">
        <v>139</v>
      </c>
      <c r="E8" s="921" t="e">
        <f>ROUND(C11/E7,4)</f>
        <v>#DIV/0!</v>
      </c>
      <c r="F8" s="2757" t="s">
        <v>2841</v>
      </c>
      <c r="G8" s="2758"/>
      <c r="H8" s="2758"/>
      <c r="I8" s="2758"/>
      <c r="J8" s="2759"/>
      <c r="K8" s="1373"/>
      <c r="L8" s="2732"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6" t="s">
        <v>2843</v>
      </c>
      <c r="X8" s="3237"/>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44"/>
      <c r="B9" s="198" t="s">
        <v>2856</v>
      </c>
      <c r="C9" s="922">
        <f>SUMIF(修正!C59:C119,C8,修正!E59:E119)</f>
        <v>0</v>
      </c>
      <c r="D9" s="200" t="s">
        <v>140</v>
      </c>
      <c r="E9" s="200" t="e">
        <f>ROUND(C11/E7,4)</f>
        <v>#DIV/0!</v>
      </c>
      <c r="F9" s="2757" t="s">
        <v>2857</v>
      </c>
      <c r="G9" s="2758"/>
      <c r="H9" s="2758"/>
      <c r="I9" s="2758"/>
      <c r="J9" s="2759"/>
      <c r="K9" s="1373"/>
      <c r="L9" s="2732"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8"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4"/>
      <c r="B10" s="198" t="s">
        <v>2861</v>
      </c>
      <c r="C10" s="200">
        <f>SUMIF(修正!C59:C119,C8,修正!F59:F119)</f>
        <v>0</v>
      </c>
      <c r="D10" s="200" t="s">
        <v>141</v>
      </c>
      <c r="E10" s="200" t="e">
        <f>ROUND(C11/E7,4)</f>
        <v>#DIV/0!</v>
      </c>
      <c r="F10" s="2757" t="s">
        <v>2862</v>
      </c>
      <c r="G10" s="2758"/>
      <c r="H10" s="2758"/>
      <c r="I10" s="2758"/>
      <c r="J10" s="2759"/>
      <c r="K10" s="1373"/>
      <c r="L10" s="2732"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4"/>
      <c r="B11" s="2760" t="s">
        <v>2864</v>
      </c>
      <c r="C11" s="923">
        <f>C10/4</f>
        <v>0</v>
      </c>
      <c r="D11" s="923" t="s">
        <v>142</v>
      </c>
      <c r="E11" s="923" t="e">
        <f>ROUND(C11/E7,4)</f>
        <v>#DIV/0!</v>
      </c>
      <c r="F11" s="2761" t="s">
        <v>2865</v>
      </c>
      <c r="G11" s="2762"/>
      <c r="H11" s="2762"/>
      <c r="I11" s="2762"/>
      <c r="J11" s="2763"/>
      <c r="K11" s="1373"/>
      <c r="L11" s="2732"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8" t="s">
        <v>2867</v>
      </c>
      <c r="X11" s="1617" t="s">
        <v>2868</v>
      </c>
      <c r="Y11" s="1618">
        <f>$G$3</f>
        <v>0.67</v>
      </c>
      <c r="Z11" s="1618">
        <f t="shared" ref="Z11:AJ11" si="3">$G$3</f>
        <v>0.67</v>
      </c>
      <c r="AA11" s="1618">
        <f t="shared" si="3"/>
        <v>0.67</v>
      </c>
      <c r="AB11" s="1618">
        <f t="shared" si="3"/>
        <v>0.67</v>
      </c>
      <c r="AC11" s="1618">
        <f t="shared" si="3"/>
        <v>0.67</v>
      </c>
      <c r="AD11" s="1618">
        <f t="shared" si="3"/>
        <v>0.67</v>
      </c>
      <c r="AE11" s="1618">
        <f t="shared" si="3"/>
        <v>0.67</v>
      </c>
      <c r="AF11" s="1618">
        <f t="shared" si="3"/>
        <v>0.67</v>
      </c>
      <c r="AG11" s="1618">
        <f t="shared" si="3"/>
        <v>0.67</v>
      </c>
      <c r="AH11" s="1618">
        <f t="shared" si="3"/>
        <v>0.67</v>
      </c>
      <c r="AI11" s="1618">
        <f t="shared" si="3"/>
        <v>0.67</v>
      </c>
      <c r="AJ11" s="1618">
        <f t="shared" si="3"/>
        <v>0.67</v>
      </c>
    </row>
    <row r="12" spans="1:36" ht="25.5" thickBot="1">
      <c r="A12" s="3243" t="s">
        <v>2869</v>
      </c>
      <c r="B12" s="2764" t="s">
        <v>2870</v>
      </c>
      <c r="C12" s="919">
        <f>ROUND(C15*D15*E15*F15*G15*H15*I15*J15,4)</f>
        <v>1</v>
      </c>
      <c r="D12" s="2765" t="s">
        <v>2871</v>
      </c>
      <c r="E12" s="2766"/>
      <c r="F12" s="2766"/>
      <c r="G12" s="2767"/>
      <c r="H12" s="2767"/>
      <c r="I12" s="2767"/>
      <c r="J12" s="2768"/>
      <c r="K12" s="1373"/>
      <c r="L12" s="2769"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8"/>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5"/>
      <c r="B13" s="2770" t="s">
        <v>2874</v>
      </c>
      <c r="C13" s="2771" t="s">
        <v>2875</v>
      </c>
      <c r="D13" s="1811" t="s">
        <v>2876</v>
      </c>
      <c r="E13" s="1811" t="s">
        <v>2877</v>
      </c>
      <c r="F13" s="30" t="s">
        <v>2878</v>
      </c>
      <c r="G13" s="2772" t="s">
        <v>2879</v>
      </c>
      <c r="H13" s="2772" t="s">
        <v>2879</v>
      </c>
      <c r="I13" s="2772" t="s">
        <v>2879</v>
      </c>
      <c r="J13" s="2773" t="s">
        <v>2879</v>
      </c>
      <c r="K13" s="1373"/>
      <c r="L13" s="1373"/>
      <c r="M13" s="1373"/>
      <c r="N13" s="1373"/>
      <c r="O13" s="1373"/>
      <c r="P13" s="1373"/>
      <c r="Q13" s="1373"/>
      <c r="R13" s="1605">
        <v>12</v>
      </c>
      <c r="S13" s="1606"/>
      <c r="T13" s="1605">
        <f t="shared" ca="1" si="0"/>
        <v>0</v>
      </c>
      <c r="U13" s="1606"/>
      <c r="V13" s="1605">
        <f t="shared" ca="1" si="1"/>
        <v>0</v>
      </c>
      <c r="W13" s="3238"/>
      <c r="X13" s="1619"/>
      <c r="Y13" s="1616">
        <f>(-0.163*(Y12^2)-0.59*Y12+7617)*(10^(-4))/Y11</f>
        <v>1.1368656716417911</v>
      </c>
      <c r="Z13" s="1616">
        <f t="shared" ref="Z13:AJ13" si="5">(-0.163*(Z12^2)-0.59*Z12+7617)*(10^(-4))/Z11</f>
        <v>1.1368656716417911</v>
      </c>
      <c r="AA13" s="1616">
        <f t="shared" si="5"/>
        <v>1.1368656716417911</v>
      </c>
      <c r="AB13" s="1616">
        <f t="shared" si="5"/>
        <v>1.1368656716417911</v>
      </c>
      <c r="AC13" s="1616">
        <f t="shared" si="5"/>
        <v>1.1368656716417911</v>
      </c>
      <c r="AD13" s="1616">
        <f t="shared" si="5"/>
        <v>1.1368656716417911</v>
      </c>
      <c r="AE13" s="1616">
        <f t="shared" si="5"/>
        <v>1.1368656716417911</v>
      </c>
      <c r="AF13" s="1616">
        <f t="shared" si="5"/>
        <v>1.1368656716417911</v>
      </c>
      <c r="AG13" s="1616">
        <f t="shared" si="5"/>
        <v>1.1368656716417911</v>
      </c>
      <c r="AH13" s="1616">
        <f t="shared" si="5"/>
        <v>1.1368656716417911</v>
      </c>
      <c r="AI13" s="1616">
        <f t="shared" si="5"/>
        <v>1.1368656716417911</v>
      </c>
      <c r="AJ13" s="1616">
        <f t="shared" si="5"/>
        <v>1.1368656716417911</v>
      </c>
    </row>
    <row r="14" spans="1:36" ht="15">
      <c r="A14" s="3245"/>
      <c r="B14" s="2774"/>
      <c r="C14" s="2775"/>
      <c r="D14" s="2776"/>
      <c r="E14" s="2776"/>
      <c r="F14" s="2777"/>
      <c r="G14" s="2778" t="s">
        <v>2880</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6"/>
      <c r="B15" s="2782" t="s">
        <v>2881</v>
      </c>
      <c r="C15" s="229">
        <f>IF(C14="有",1.1,1)</f>
        <v>1</v>
      </c>
      <c r="D15" s="229">
        <f>IF(D14="有",1.1,1)</f>
        <v>1</v>
      </c>
      <c r="E15" s="229">
        <f>IF(E14="有",1.1,1)</f>
        <v>1</v>
      </c>
      <c r="F15" s="229">
        <f>IF(F14="500米范围内",1.2,IF(F14="500-1000米",1.1,1))</f>
        <v>1</v>
      </c>
      <c r="G15" s="949">
        <v>1</v>
      </c>
      <c r="H15" s="949">
        <v>1</v>
      </c>
      <c r="I15" s="949">
        <v>1</v>
      </c>
      <c r="J15" s="950">
        <v>1</v>
      </c>
      <c r="K15" s="1373"/>
      <c r="L15" s="2783" t="s">
        <v>2817</v>
      </c>
      <c r="M15" s="920" t="s">
        <v>2882</v>
      </c>
      <c r="N15" s="920" t="s">
        <v>2883</v>
      </c>
      <c r="O15" s="920" t="s">
        <v>2884</v>
      </c>
      <c r="P15" s="2784" t="s">
        <v>2885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3" t="s">
        <v>2886</v>
      </c>
      <c r="B16" s="2751" t="s">
        <v>2887</v>
      </c>
      <c r="C16" s="1804">
        <f>ROUND(SUM(G17:J17)/C17,0)</f>
        <v>0</v>
      </c>
      <c r="D16" s="2785" t="s">
        <v>2888</v>
      </c>
      <c r="E16" s="2786" t="s">
        <v>3066</v>
      </c>
      <c r="F16" s="2787" t="s">
        <v>3067</v>
      </c>
      <c r="G16" s="2788"/>
      <c r="H16" s="2788"/>
      <c r="I16" s="2788"/>
      <c r="J16" s="2789"/>
      <c r="K16" s="1373"/>
      <c r="L16" s="2790" t="s">
        <v>2889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4"/>
      <c r="B17" s="2791" t="s">
        <v>2890</v>
      </c>
      <c r="C17" s="924">
        <f>SUMPRODUCT((修正!A2:A5=E2)*(修正!B1:M1=G2)*(修正!B2:M5))</f>
        <v>2.5</v>
      </c>
      <c r="D17" s="2792"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2894</v>
      </c>
      <c r="C18" s="926">
        <f>SUMIF(修正!C18:C39,E3,修正!E18:E39)</f>
        <v>0.8</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2895</v>
      </c>
      <c r="C19" s="927">
        <f>ROUND(IF(H19="按公示增长率计算",SUMPRODUCT((地价!A3:A24=YEAR(G19)&amp;"-"&amp;ROUNDUP(MONTH(G19)/3,0))*(地价!X2:AB2=E2)*(地价!X3:AB24)),IF(H19="地价指数",M20/M19,(1+I19)^O19)),4)</f>
        <v>1.3217000000000001</v>
      </c>
      <c r="D19" s="2803" t="s">
        <v>2896</v>
      </c>
      <c r="E19" s="928">
        <v>41640</v>
      </c>
      <c r="F19" s="2803" t="s">
        <v>2897</v>
      </c>
      <c r="G19" s="929">
        <f>'数据-取费表'!B2</f>
        <v>43465</v>
      </c>
      <c r="H19" s="2804" t="s">
        <v>3065</v>
      </c>
      <c r="I19" s="930" t="str">
        <f>IF(H19="季度增幅（自定义）",SUMIF(N21:N24,E2,O21:O24),"")</f>
        <v/>
      </c>
      <c r="J19" s="2801"/>
      <c r="K19" s="1380"/>
      <c r="L19" s="2805" t="s">
        <v>2898</v>
      </c>
      <c r="M19" s="1737">
        <f>ROUND(SUMIF(地价!B2:F2,E2,地价!B24:F24),0)</f>
        <v>258</v>
      </c>
      <c r="N19" s="2806" t="s">
        <v>2899</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f ca="1">ROUND(POWER(1+G20,J20-I20)*(POWER(1+G20,I20)-1)/(POWER(1+G20,J20)-1),4)</f>
        <v>1</v>
      </c>
      <c r="D20" s="2812" t="s">
        <v>2901</v>
      </c>
      <c r="E20" s="1771">
        <f ca="1">存贷款利率!D4/100</f>
        <v>4.3499999999999997E-2</v>
      </c>
      <c r="F20" s="2812" t="s">
        <v>2893</v>
      </c>
      <c r="G20" s="937">
        <f ca="1">SUMIF(M15:P15,E2,M17:P17)</f>
        <v>5.1999999999999998E-2</v>
      </c>
      <c r="H20" s="2812" t="s">
        <v>2902</v>
      </c>
      <c r="I20" s="938">
        <f>SUMIF('数据-取费表'!C6:C15,E2,'数据-取费表'!F6:F15)/COUNTIF('数据-取费表'!C6:C15,E2)</f>
        <v>50</v>
      </c>
      <c r="J20" s="939">
        <f>IF(E2="住宅",70,IF(E2="商业",40,50))</f>
        <v>50</v>
      </c>
      <c r="K20" s="1380"/>
      <c r="L20" s="2813" t="s">
        <v>2903</v>
      </c>
      <c r="M20" s="1738">
        <f>ROUND(SUMPRODUCT((地价!A4:A24=YEAR(G19)&amp;"-"&amp;ROUNDUP(MONTH(G19)/3,0))*(地价!B2:F2=E2)*(地价!B4:F24)),0)</f>
        <v>341</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3068</v>
      </c>
      <c r="C21" s="940">
        <f>IF(B21="容积率修正",IF(G3&lt;=10,D22,J22),C23)</f>
        <v>1.9180999999999999</v>
      </c>
      <c r="D21" s="2819"/>
      <c r="E21" s="2819"/>
      <c r="F21" s="2819"/>
      <c r="G21" s="2819"/>
      <c r="H21" s="2819"/>
      <c r="I21" s="2819"/>
      <c r="J21" s="2820"/>
      <c r="K21" s="1380"/>
      <c r="N21" s="2821" t="s">
        <v>2907</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2908</v>
      </c>
      <c r="B22" s="2822" t="s">
        <v>2909</v>
      </c>
      <c r="C22" s="1813" t="s">
        <v>2910</v>
      </c>
      <c r="D22" s="1813">
        <f>IF(E22=G22,F22,IF(G3&lt;=10,ROUND(F22+(H22-F22)*(G3-E22)/(G22-E22),4),"——"))</f>
        <v>1.9180999999999999</v>
      </c>
      <c r="E22" s="916">
        <f>ROUNDDOWN(G3,1)</f>
        <v>0.6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916">
        <f>ROUNDUP(G3,1)</f>
        <v>0.7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813" t="s">
        <v>155</v>
      </c>
      <c r="J22" s="941" t="str">
        <f>IF(G3&gt;10,D113,"——")</f>
        <v>——</v>
      </c>
      <c r="K22" s="1380"/>
      <c r="N22" s="2821" t="s">
        <v>2911</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2912</v>
      </c>
      <c r="B23" s="2823" t="s">
        <v>2913</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2914</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2915</v>
      </c>
      <c r="C24" s="927">
        <f>SUMIF(A45:A88,E2,B45:B88)</f>
        <v>1</v>
      </c>
      <c r="D24" s="2799"/>
      <c r="E24" s="2829"/>
      <c r="F24" s="2829"/>
      <c r="G24" s="2829"/>
      <c r="H24" s="2829"/>
      <c r="I24" s="2829"/>
      <c r="J24" s="2830"/>
      <c r="K24" s="1380"/>
      <c r="N24" s="2831" t="s">
        <v>2916</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2917</v>
      </c>
      <c r="C25" s="933"/>
      <c r="D25" s="2754"/>
      <c r="E25" s="2754"/>
      <c r="F25" s="2833"/>
      <c r="G25" s="2754"/>
      <c r="H25" s="2754"/>
      <c r="I25" s="2754"/>
      <c r="J25" s="2755"/>
      <c r="K25" s="1373"/>
      <c r="N25" s="2834" t="s">
        <v>2918</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2919</v>
      </c>
      <c r="C26" s="206">
        <f ca="1">E29+SUM(E33:E39)</f>
        <v>52885</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2920</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2921</v>
      </c>
      <c r="C28" s="2846" t="s">
        <v>2922</v>
      </c>
      <c r="D28" s="2846" t="s">
        <v>2923</v>
      </c>
      <c r="E28" s="2847" t="s">
        <v>2924</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2925</v>
      </c>
      <c r="C29" s="206">
        <f ca="1">ROUND(C5*C18*C19*C20*C21*C24,0)</f>
        <v>39001</v>
      </c>
      <c r="D29" s="2851">
        <f>'数据-基础表'!B3</f>
        <v>13560</v>
      </c>
      <c r="E29" s="945">
        <f ca="1">ROUND(C29*D29/10000,0)</f>
        <v>52885</v>
      </c>
      <c r="F29" s="2852" t="s">
        <v>2926</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2927</v>
      </c>
      <c r="C30" s="229">
        <f ca="1">ROUND(IF(E2="工业",C29*M39,C29*M38),0)</f>
        <v>9750</v>
      </c>
      <c r="D30" s="2857"/>
      <c r="E30" s="945">
        <f ca="1">ROUND(C30*D30/10000,0)</f>
        <v>0</v>
      </c>
      <c r="F30" s="2858" t="s">
        <v>2928</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2929</v>
      </c>
      <c r="C31" s="2863" t="s">
        <v>2930</v>
      </c>
      <c r="D31" s="2767"/>
      <c r="E31" s="2863"/>
      <c r="F31" s="2863"/>
      <c r="G31" s="2765" t="s">
        <v>2931</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2922</v>
      </c>
      <c r="D32" s="498" t="s">
        <v>2923</v>
      </c>
      <c r="E32" s="498" t="s">
        <v>2924</v>
      </c>
      <c r="F32" s="388" t="s">
        <v>2932</v>
      </c>
      <c r="G32" s="2866" t="s">
        <v>2922</v>
      </c>
      <c r="H32" s="2866" t="s">
        <v>2923</v>
      </c>
      <c r="I32" s="2866" t="s">
        <v>2924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53" t="s">
        <v>2933</v>
      </c>
      <c r="B33" s="2867" t="s">
        <v>2934</v>
      </c>
      <c r="C33" s="206">
        <f ca="1">ROUND(D5*C19*C20*C24*F33,0)</f>
        <v>17791</v>
      </c>
      <c r="D33" s="2851"/>
      <c r="E33" s="200">
        <f ca="1">ROUND(C33*D33/10000,0)</f>
        <v>0</v>
      </c>
      <c r="F33" s="200">
        <f>SUMIF(修正!A45:A56,G2,修正!B45:B56)</f>
        <v>0.7</v>
      </c>
      <c r="G33" s="200">
        <f t="shared" ref="G33" ca="1" si="6">ROUND(IF(E2="工业",C33*$M$39,C33*$M$38),0)</f>
        <v>4448</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4"/>
      <c r="B34" s="2771" t="s">
        <v>2935</v>
      </c>
      <c r="C34" s="206">
        <f ca="1">ROUND(D5*C19*C20*C24*F34,0)</f>
        <v>10167</v>
      </c>
      <c r="D34" s="2851"/>
      <c r="E34" s="200">
        <f t="shared" ref="E34:E39" ca="1" si="7">ROUND(C34*D34/10000,0)</f>
        <v>0</v>
      </c>
      <c r="F34" s="200">
        <f>SUMIF(修正!A45:A56,G2,修正!C45:C56)</f>
        <v>0.4</v>
      </c>
      <c r="G34" s="200">
        <f ca="1">ROUND(IF(E2="工业",C34*$M$39,C34*$M$38),0)</f>
        <v>2542</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4"/>
      <c r="B35" s="2771" t="s">
        <v>2936</v>
      </c>
      <c r="C35" s="206">
        <f ca="1">ROUND(D5*C19*C20*C24*F35,0)</f>
        <v>7117</v>
      </c>
      <c r="D35" s="2851"/>
      <c r="E35" s="200">
        <f t="shared" ca="1" si="7"/>
        <v>0</v>
      </c>
      <c r="F35" s="200">
        <f>SUMIF(修正!A45:A56,G2,修正!D45:D56)</f>
        <v>0.28000000000000003</v>
      </c>
      <c r="G35" s="200">
        <f ca="1">ROUND(IF(E2="工业",C35*$M$39,C35*$M$38),0)</f>
        <v>1779</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55"/>
      <c r="B36" s="2771" t="s">
        <v>2937</v>
      </c>
      <c r="C36" s="206">
        <f ca="1">ROUND(D5*C19*C20*C24*F36,0)</f>
        <v>6354</v>
      </c>
      <c r="D36" s="2851"/>
      <c r="E36" s="200">
        <f t="shared" ca="1" si="7"/>
        <v>0</v>
      </c>
      <c r="F36" s="200">
        <f>SUMIF(修正!A45:A56,G2,修正!E45:E56)</f>
        <v>0.25</v>
      </c>
      <c r="G36" s="200">
        <f ca="1">ROUND(IF(E2="工业",C36*$M$39,C36*$M$38),0)</f>
        <v>1589</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2938</v>
      </c>
      <c r="C37" s="200">
        <f ca="1">ROUND(D5*C19*C20*C24*F37,0)</f>
        <v>6354</v>
      </c>
      <c r="D37" s="2851"/>
      <c r="E37" s="200">
        <f t="shared" ca="1" si="7"/>
        <v>0</v>
      </c>
      <c r="F37" s="206">
        <f>SUMIF(修正!A45:A56,G2,修正!F45:F56)</f>
        <v>0.25</v>
      </c>
      <c r="G37" s="200">
        <f ca="1">ROUND(IF(E2="工业",C37*$M$39,C37*$M$38),0)</f>
        <v>1589</v>
      </c>
      <c r="H37" s="200">
        <f t="shared" si="8"/>
        <v>0</v>
      </c>
      <c r="I37" s="200">
        <f t="shared" ca="1" si="9"/>
        <v>0</v>
      </c>
      <c r="J37" s="2868"/>
      <c r="K37" s="1373"/>
      <c r="L37" s="2870" t="s">
        <v>2939</v>
      </c>
      <c r="M37" s="2871"/>
      <c r="N37" s="1373"/>
      <c r="O37" s="1373"/>
      <c r="P37" s="1373"/>
      <c r="Q37" s="1373"/>
      <c r="R37" s="1373"/>
      <c r="S37" s="1373"/>
      <c r="T37" s="1373"/>
      <c r="U37" s="1373"/>
      <c r="V37" s="1373"/>
      <c r="W37" s="1373"/>
      <c r="X37" s="1373"/>
      <c r="Y37" s="1373"/>
      <c r="Z37" s="1374"/>
    </row>
    <row r="38" spans="1:37">
      <c r="A38" s="2869"/>
      <c r="B38" s="2771" t="s">
        <v>2940</v>
      </c>
      <c r="C38" s="200">
        <f ca="1">ROUND(D5*C19*C41*C24*F38,0)</f>
        <v>0</v>
      </c>
      <c r="D38" s="2851"/>
      <c r="E38" s="200">
        <f t="shared" ca="1" si="7"/>
        <v>0</v>
      </c>
      <c r="F38" s="206">
        <f>SUMIF(修正!A45:A56,G2,修正!G45:G56)</f>
        <v>0.25</v>
      </c>
      <c r="G38" s="200">
        <f ca="1">ROUND(IF(E2="工业",C38*$M$39,C38*$M$38),0)</f>
        <v>0</v>
      </c>
      <c r="H38" s="200">
        <f t="shared" si="8"/>
        <v>0</v>
      </c>
      <c r="I38" s="200">
        <f t="shared" ca="1" si="9"/>
        <v>0</v>
      </c>
      <c r="J38" s="2868"/>
      <c r="K38" s="1373"/>
      <c r="L38" s="1890" t="s">
        <v>2941</v>
      </c>
      <c r="M38" s="2872">
        <v>0.25</v>
      </c>
      <c r="N38" s="1373"/>
      <c r="O38" s="1373"/>
      <c r="P38" s="1373"/>
      <c r="Q38" s="1373"/>
      <c r="R38" s="1373"/>
      <c r="S38" s="1373"/>
      <c r="T38" s="1373"/>
      <c r="U38" s="1373"/>
      <c r="V38" s="1373"/>
      <c r="W38" s="1373"/>
      <c r="X38" s="1373"/>
      <c r="Y38" s="1373"/>
      <c r="Z38" s="1374"/>
    </row>
    <row r="39" spans="1:37" ht="13.5" thickBot="1">
      <c r="A39" s="2855"/>
      <c r="B39" s="2873" t="s">
        <v>2942</v>
      </c>
      <c r="C39" s="229">
        <f ca="1">ROUND(D5*C19*C41*C24*F39,0)</f>
        <v>0</v>
      </c>
      <c r="D39" s="2857"/>
      <c r="E39" s="229">
        <f t="shared" ca="1" si="7"/>
        <v>0</v>
      </c>
      <c r="F39" s="935">
        <f>SUMIF(修正!A45:A56,G2,修正!H45:H56)</f>
        <v>0.2</v>
      </c>
      <c r="G39" s="229">
        <f ca="1">ROUND(IF(E2="工业",C39*$M$39,C39*$M$38),0)</f>
        <v>0</v>
      </c>
      <c r="H39" s="229">
        <f t="shared" si="8"/>
        <v>0</v>
      </c>
      <c r="I39" s="229">
        <f t="shared" ca="1" si="9"/>
        <v>0</v>
      </c>
      <c r="J39" s="2874"/>
      <c r="K39" s="1373"/>
      <c r="L39" s="2875" t="s">
        <v>2885</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9" t="s">
        <v>3054</v>
      </c>
      <c r="C41" s="388">
        <f ca="1">ROUND(POWER(1+E41,H41-G41)*(POWER(1+E41,G41)-1)/(POWER(1+E41,H41)-1),4)</f>
        <v>0</v>
      </c>
      <c r="D41" s="200" t="s">
        <v>2893</v>
      </c>
      <c r="E41" s="2948">
        <f ca="1">G20</f>
        <v>5.1999999999999998E-2</v>
      </c>
      <c r="F41" s="200" t="s">
        <v>2902</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2943</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2944</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2945</v>
      </c>
      <c r="B47" s="1812" t="s">
        <v>2946</v>
      </c>
      <c r="C47" s="1812" t="s">
        <v>2947</v>
      </c>
      <c r="D47" s="1812" t="s">
        <v>2948</v>
      </c>
      <c r="E47" s="819" t="s">
        <v>2949</v>
      </c>
      <c r="F47" s="2885" t="s">
        <v>2950</v>
      </c>
      <c r="G47" s="1812" t="s">
        <v>754</v>
      </c>
      <c r="H47" s="2886" t="s">
        <v>2951</v>
      </c>
      <c r="I47" s="1812" t="s">
        <v>2952</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2953</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2954</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2955</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2956</v>
      </c>
      <c r="B51" s="2889" t="s">
        <v>2957</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2958</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2959</v>
      </c>
      <c r="B53" s="2890" t="s">
        <v>2960</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2961</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2962</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2963</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2964</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2945</v>
      </c>
      <c r="B58" s="1812"/>
      <c r="C58" s="1812" t="s">
        <v>2947</v>
      </c>
      <c r="D58" s="1812" t="s">
        <v>2948</v>
      </c>
      <c r="E58" s="819" t="s">
        <v>2949</v>
      </c>
      <c r="F58" s="2885" t="s">
        <v>2965</v>
      </c>
      <c r="G58" s="1812" t="s">
        <v>754</v>
      </c>
      <c r="H58" s="2886" t="s">
        <v>2951</v>
      </c>
      <c r="I58" s="1812" t="s">
        <v>2952</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2966</v>
      </c>
      <c r="B59" s="2887" t="str">
        <f>估价对象房地状况!C17</f>
        <v>估价对象位于XX商圈，周边办公楼项目较多，入驻率高，办公集聚程度较好</v>
      </c>
      <c r="C59" s="2776"/>
      <c r="D59" s="1289">
        <f t="shared" ref="D59:D67" si="15">SUMIF($J$58:$N$58,C59,J59:N59)</f>
        <v>0</v>
      </c>
      <c r="E59" s="821">
        <f>ROUND(SUM(D59:D67),4)</f>
        <v>0</v>
      </c>
      <c r="F59" s="2507">
        <f>IF(E2="办公",SUMIF(L1:L12,G2,N1:N12),"——")</f>
        <v>9.7000000000000003E-2</v>
      </c>
      <c r="G59" s="1287"/>
      <c r="H59" s="1291">
        <f t="shared" ref="H59:H67" si="16">IFERROR(ROUNDDOWN($F$59*I59/2,4),"——")</f>
        <v>1.1599999999999999E-2</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2954</v>
      </c>
      <c r="B60" s="2888" t="str">
        <f>估价对象房地状况!C18</f>
        <v>估价对象周边道路状况、公共交通通达情况、停车便捷程度，综合评价交通便捷度较好</v>
      </c>
      <c r="C60" s="2776"/>
      <c r="D60" s="1289">
        <f t="shared" si="15"/>
        <v>0</v>
      </c>
      <c r="E60" s="822"/>
      <c r="F60" s="2507"/>
      <c r="G60" s="1287"/>
      <c r="H60" s="1291">
        <f t="shared" si="16"/>
        <v>1.4500000000000001E-2</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2955</v>
      </c>
      <c r="B61" s="2888">
        <f>估价对象房地状况!C19</f>
        <v>0</v>
      </c>
      <c r="C61" s="2776"/>
      <c r="D61" s="1289">
        <f t="shared" si="15"/>
        <v>0</v>
      </c>
      <c r="E61" s="822"/>
      <c r="F61" s="2507"/>
      <c r="G61" s="1287"/>
      <c r="H61" s="1291">
        <f t="shared" si="16"/>
        <v>3.8E-3</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2956</v>
      </c>
      <c r="B62" s="2889" t="s">
        <v>2957</v>
      </c>
      <c r="C62" s="2776"/>
      <c r="D62" s="1289">
        <f t="shared" si="15"/>
        <v>0</v>
      </c>
      <c r="E62" s="822"/>
      <c r="F62" s="2507"/>
      <c r="G62" s="1287"/>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2958</v>
      </c>
      <c r="B63" s="2888">
        <f>估价对象房地状况!C24</f>
        <v>0</v>
      </c>
      <c r="C63" s="2776"/>
      <c r="D63" s="1289">
        <f t="shared" si="15"/>
        <v>0</v>
      </c>
      <c r="E63" s="822"/>
      <c r="F63" s="2507"/>
      <c r="G63" s="1287"/>
      <c r="H63" s="1291">
        <f t="shared" si="16"/>
        <v>2.3999999999999998E-3</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2959</v>
      </c>
      <c r="B64" s="2890" t="s">
        <v>2960</v>
      </c>
      <c r="C64" s="2776"/>
      <c r="D64" s="1289">
        <f t="shared" si="15"/>
        <v>0</v>
      </c>
      <c r="E64" s="822"/>
      <c r="F64" s="2507"/>
      <c r="G64" s="1287"/>
      <c r="H64" s="1291">
        <f t="shared" si="16"/>
        <v>2.3999999999999998E-3</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2961</v>
      </c>
      <c r="B65" s="1728" t="str">
        <f>估价对象房地状况!C21</f>
        <v>估价对象所在区域公共配套设施齐备情况</v>
      </c>
      <c r="C65" s="2776"/>
      <c r="D65" s="1289">
        <f t="shared" si="15"/>
        <v>0</v>
      </c>
      <c r="E65" s="822"/>
      <c r="F65" s="2507"/>
      <c r="G65" s="1287"/>
      <c r="H65" s="1291">
        <f t="shared" si="16"/>
        <v>2.8999999999999998E-3</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2962</v>
      </c>
      <c r="B66" s="1728" t="str">
        <f>估价对象房地状况!C22</f>
        <v>估价对象所在区域基础设施水平</v>
      </c>
      <c r="C66" s="2776"/>
      <c r="D66" s="1289">
        <f t="shared" si="15"/>
        <v>0</v>
      </c>
      <c r="E66" s="822"/>
      <c r="F66" s="2507"/>
      <c r="G66" s="1287"/>
      <c r="H66" s="1291">
        <f t="shared" si="16"/>
        <v>5.7999999999999996E-3</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2963</v>
      </c>
      <c r="B67" s="2894" t="str">
        <f>估价对象房地状况!C20</f>
        <v>区域自然环境：；人文环境；综合评价环境状况一般</v>
      </c>
      <c r="C67" s="2776"/>
      <c r="D67" s="1289">
        <f t="shared" si="15"/>
        <v>0</v>
      </c>
      <c r="E67" s="825"/>
      <c r="F67" s="2507"/>
      <c r="G67" s="1287"/>
      <c r="H67" s="1291">
        <f t="shared" si="16"/>
        <v>2.8999999999999998E-3</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2967</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2945</v>
      </c>
      <c r="B69" s="1812"/>
      <c r="C69" s="1812" t="s">
        <v>2947</v>
      </c>
      <c r="D69" s="1812" t="s">
        <v>2948</v>
      </c>
      <c r="E69" s="819" t="s">
        <v>2949</v>
      </c>
      <c r="F69" s="2885" t="s">
        <v>2965</v>
      </c>
      <c r="G69" s="1812" t="s">
        <v>754</v>
      </c>
      <c r="H69" s="2886" t="s">
        <v>2951</v>
      </c>
      <c r="I69" s="1812" t="s">
        <v>2952</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2968</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2954</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2955</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2969</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2961</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2962</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2959</v>
      </c>
      <c r="B76" s="2890" t="s">
        <v>2960</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2963</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2970</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2971</v>
      </c>
      <c r="B79" s="2881">
        <f>1+E81</f>
        <v>1</v>
      </c>
      <c r="C79" s="814"/>
      <c r="D79" s="814"/>
      <c r="E79" s="815"/>
      <c r="F79" s="2883"/>
      <c r="G79" s="6"/>
      <c r="H79" s="6"/>
      <c r="I79" s="6"/>
      <c r="J79" s="7"/>
      <c r="K79" s="7"/>
      <c r="L79" s="7"/>
      <c r="M79" s="7"/>
      <c r="N79" s="7"/>
      <c r="Z79" s="2726"/>
      <c r="AA79" s="2802"/>
      <c r="AG79" s="1375"/>
      <c r="AK79" s="2802"/>
    </row>
    <row r="80" spans="1:37" ht="24.75">
      <c r="A80" s="2884" t="s">
        <v>2945</v>
      </c>
      <c r="B80" s="1812"/>
      <c r="C80" s="1812" t="s">
        <v>2947</v>
      </c>
      <c r="D80" s="1812" t="s">
        <v>2948</v>
      </c>
      <c r="E80" s="819" t="s">
        <v>2949</v>
      </c>
      <c r="F80" s="2885" t="s">
        <v>2965</v>
      </c>
      <c r="G80" s="1812" t="s">
        <v>754</v>
      </c>
      <c r="H80" s="2886" t="s">
        <v>2951</v>
      </c>
      <c r="I80" s="1812" t="s">
        <v>2952</v>
      </c>
      <c r="J80" s="603" t="s">
        <v>2600</v>
      </c>
      <c r="K80" s="603" t="s">
        <v>2601</v>
      </c>
      <c r="L80" s="603" t="s">
        <v>2602</v>
      </c>
      <c r="M80" s="603" t="s">
        <v>2603</v>
      </c>
      <c r="N80" s="603" t="s">
        <v>2604</v>
      </c>
      <c r="Z80" s="2726"/>
      <c r="AA80" s="2802"/>
      <c r="AG80" s="1375"/>
      <c r="AK80" s="2802"/>
    </row>
    <row r="81" spans="1:37" ht="38.25">
      <c r="A81" s="2884" t="s">
        <v>2972</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2954</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2955</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2969</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2961</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2962</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2959</v>
      </c>
      <c r="B87" s="2890" t="s">
        <v>2973</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2974</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47" t="s">
        <v>2975</v>
      </c>
      <c r="B90" s="3247"/>
      <c r="C90" s="3247"/>
      <c r="D90" s="3247"/>
      <c r="E90" s="3247"/>
      <c r="F90" s="3247"/>
      <c r="G90" s="3247"/>
      <c r="H90" s="3247"/>
      <c r="I90" s="3247"/>
      <c r="J90" s="3247"/>
      <c r="K90" s="2898"/>
      <c r="L90" s="2898"/>
      <c r="M90" s="2898"/>
      <c r="N90" s="2898"/>
    </row>
    <row r="91" spans="1:37">
      <c r="A91" s="3249" t="s">
        <v>2976</v>
      </c>
      <c r="B91" s="3249" t="s">
        <v>2977</v>
      </c>
      <c r="C91" s="2852" t="s">
        <v>2978</v>
      </c>
      <c r="D91" s="2853"/>
      <c r="E91" s="2853"/>
      <c r="F91" s="2853"/>
      <c r="G91" s="2853"/>
      <c r="H91" s="2853"/>
      <c r="I91" s="2853"/>
      <c r="J91" s="2899"/>
      <c r="K91" s="2900"/>
      <c r="L91" s="2900"/>
      <c r="M91" s="2900"/>
      <c r="N91" s="2900"/>
    </row>
    <row r="92" spans="1:37">
      <c r="A92" s="3249"/>
      <c r="B92" s="3249"/>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50" t="s">
        <v>2979</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51"/>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51"/>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51"/>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51"/>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51"/>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51"/>
      <c r="B99" s="2901" t="s">
        <v>2860</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52"/>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50" t="s">
        <v>2980</v>
      </c>
      <c r="B101" s="2905" t="s">
        <v>2981</v>
      </c>
      <c r="C101" s="2906">
        <f>$G$3</f>
        <v>0.67</v>
      </c>
      <c r="D101" s="2906">
        <f t="shared" ref="D101:N101" si="31">$G$3</f>
        <v>0.67</v>
      </c>
      <c r="E101" s="2906">
        <f t="shared" si="31"/>
        <v>0.67</v>
      </c>
      <c r="F101" s="2906">
        <f t="shared" si="31"/>
        <v>0.67</v>
      </c>
      <c r="G101" s="2906">
        <f t="shared" si="31"/>
        <v>0.67</v>
      </c>
      <c r="H101" s="2906">
        <f t="shared" si="31"/>
        <v>0.67</v>
      </c>
      <c r="I101" s="2906">
        <f t="shared" si="31"/>
        <v>0.67</v>
      </c>
      <c r="J101" s="2906">
        <f t="shared" si="31"/>
        <v>0.67</v>
      </c>
      <c r="K101" s="2906">
        <f t="shared" si="31"/>
        <v>0.67</v>
      </c>
      <c r="L101" s="2906">
        <f t="shared" si="31"/>
        <v>0.67</v>
      </c>
      <c r="M101" s="2906">
        <f t="shared" si="31"/>
        <v>0.67</v>
      </c>
      <c r="N101" s="2906">
        <f t="shared" si="31"/>
        <v>0.67</v>
      </c>
    </row>
    <row r="102" spans="1:14">
      <c r="A102" s="3251"/>
      <c r="B102" s="2901">
        <v>1</v>
      </c>
      <c r="C102" s="2902">
        <f>1.9362/C101</f>
        <v>2.8898507462686562</v>
      </c>
      <c r="D102" s="2902">
        <f>1.9362/D101</f>
        <v>2.8898507462686562</v>
      </c>
      <c r="E102" s="2902">
        <f>1.8629/E101</f>
        <v>2.7804477611940297</v>
      </c>
      <c r="F102" s="2902">
        <f>1.8629/F101</f>
        <v>2.7804477611940297</v>
      </c>
      <c r="G102" s="2902">
        <f>1.8629/G101</f>
        <v>2.7804477611940297</v>
      </c>
      <c r="H102" s="2902">
        <f>1.8629/H101</f>
        <v>2.7804477611940297</v>
      </c>
      <c r="I102" s="2902">
        <f>1.8629/I101</f>
        <v>2.7804477611940297</v>
      </c>
      <c r="J102" s="2902">
        <f>1.942/J101</f>
        <v>2.8985074626865668</v>
      </c>
      <c r="K102" s="2902">
        <f>1.942/K101</f>
        <v>2.8985074626865668</v>
      </c>
      <c r="L102" s="2902">
        <f>1.942/L101</f>
        <v>2.8985074626865668</v>
      </c>
      <c r="M102" s="2902">
        <f>1.942/M101</f>
        <v>2.8985074626865668</v>
      </c>
      <c r="N102" s="2902">
        <f>1.942/N101</f>
        <v>2.8985074626865668</v>
      </c>
    </row>
    <row r="103" spans="1:14">
      <c r="A103" s="3251"/>
      <c r="B103" s="2901">
        <v>2</v>
      </c>
      <c r="C103" s="2902">
        <f>1.4198/C101</f>
        <v>2.1191044776119403</v>
      </c>
      <c r="D103" s="2902">
        <f>1.4198/D101</f>
        <v>2.1191044776119403</v>
      </c>
      <c r="E103" s="2902">
        <f>1.3372/E101</f>
        <v>1.9958208955223879</v>
      </c>
      <c r="F103" s="2902">
        <f>1.3372/F101</f>
        <v>1.9958208955223879</v>
      </c>
      <c r="G103" s="2902">
        <f>1.3372/G101</f>
        <v>1.9958208955223879</v>
      </c>
      <c r="H103" s="2902">
        <f>1.3372/H101</f>
        <v>1.9958208955223879</v>
      </c>
      <c r="I103" s="2902">
        <f>1.3372/I101</f>
        <v>1.9958208955223879</v>
      </c>
      <c r="J103" s="2902">
        <f>1.2799/J101</f>
        <v>1.9102985074626866</v>
      </c>
      <c r="K103" s="2902">
        <f>1.2799/K101</f>
        <v>1.9102985074626866</v>
      </c>
      <c r="L103" s="2902">
        <f>1.2799/L101</f>
        <v>1.9102985074626866</v>
      </c>
      <c r="M103" s="2902">
        <f>1.2799/M101</f>
        <v>1.9102985074626866</v>
      </c>
      <c r="N103" s="2902">
        <f>1.2799/N101</f>
        <v>1.9102985074626866</v>
      </c>
    </row>
    <row r="104" spans="1:14">
      <c r="A104" s="3251"/>
      <c r="B104" s="2901">
        <v>3</v>
      </c>
      <c r="C104" s="2902">
        <f>1.1594/C101</f>
        <v>1.7304477611940297</v>
      </c>
      <c r="D104" s="2902">
        <f>1.1594/D101</f>
        <v>1.7304477611940297</v>
      </c>
      <c r="E104" s="2902">
        <f>1.0788/E101</f>
        <v>1.6101492537313431</v>
      </c>
      <c r="F104" s="2902">
        <f>1.0788/F101</f>
        <v>1.6101492537313431</v>
      </c>
      <c r="G104" s="2902">
        <f>1.0788/G101</f>
        <v>1.6101492537313431</v>
      </c>
      <c r="H104" s="2902">
        <f>1.0788/H101</f>
        <v>1.6101492537313431</v>
      </c>
      <c r="I104" s="2902">
        <f>1.0788/I101</f>
        <v>1.6101492537313431</v>
      </c>
      <c r="J104" s="2902">
        <f>1.0072/J101</f>
        <v>1.5032835820895523</v>
      </c>
      <c r="K104" s="2902">
        <f>1.0072/K101</f>
        <v>1.5032835820895523</v>
      </c>
      <c r="L104" s="2902">
        <f>1.0072/L101</f>
        <v>1.5032835820895523</v>
      </c>
      <c r="M104" s="2902">
        <f>1.0072/M101</f>
        <v>1.5032835820895523</v>
      </c>
      <c r="N104" s="2902">
        <f>1.0072/N101</f>
        <v>1.5032835820895523</v>
      </c>
    </row>
    <row r="105" spans="1:14">
      <c r="A105" s="3251"/>
      <c r="B105" s="2901">
        <v>4</v>
      </c>
      <c r="C105" s="2902">
        <f>0.9622/C101</f>
        <v>1.4361194029850746</v>
      </c>
      <c r="D105" s="2902">
        <f>0.9622/D101</f>
        <v>1.4361194029850746</v>
      </c>
      <c r="E105" s="2902">
        <f>0.8656/E101</f>
        <v>1.2919402985074626</v>
      </c>
      <c r="F105" s="2902">
        <f>0.8656/F101</f>
        <v>1.2919402985074626</v>
      </c>
      <c r="G105" s="2902">
        <f>0.8656/G101</f>
        <v>1.2919402985074626</v>
      </c>
      <c r="H105" s="2902">
        <f>0.8656/H101</f>
        <v>1.2919402985074626</v>
      </c>
      <c r="I105" s="2902">
        <f>0.8656/I101</f>
        <v>1.2919402985074626</v>
      </c>
      <c r="J105" s="2902">
        <f>0.7525/J101</f>
        <v>1.1231343283582087</v>
      </c>
      <c r="K105" s="2902">
        <f>0.7525/K101</f>
        <v>1.1231343283582087</v>
      </c>
      <c r="L105" s="2902">
        <f>0.7525/L101</f>
        <v>1.1231343283582087</v>
      </c>
      <c r="M105" s="2902">
        <f>0.7525/M101</f>
        <v>1.1231343283582087</v>
      </c>
      <c r="N105" s="2902">
        <f>0.7525/N101</f>
        <v>1.1231343283582087</v>
      </c>
    </row>
    <row r="106" spans="1:14">
      <c r="A106" s="3251"/>
      <c r="B106" s="2901">
        <v>5</v>
      </c>
      <c r="C106" s="2902">
        <f>0.8417/C101</f>
        <v>1.2562686567164179</v>
      </c>
      <c r="D106" s="2902">
        <f>0.8417/D101</f>
        <v>1.2562686567164179</v>
      </c>
      <c r="E106" s="2902">
        <f>0.7371/E101</f>
        <v>1.1001492537313431</v>
      </c>
      <c r="F106" s="2902">
        <f>0.7371/F101</f>
        <v>1.1001492537313431</v>
      </c>
      <c r="G106" s="2902">
        <f>0.7371/G101</f>
        <v>1.1001492537313431</v>
      </c>
      <c r="H106" s="2902">
        <f>0.7371/H101</f>
        <v>1.1001492537313431</v>
      </c>
      <c r="I106" s="2902">
        <f>0.7371/I101</f>
        <v>1.1001492537313431</v>
      </c>
      <c r="J106" s="2902">
        <f>0.5659/J101</f>
        <v>0.84462686567164169</v>
      </c>
      <c r="K106" s="2902">
        <f>0.5659/K101</f>
        <v>0.84462686567164169</v>
      </c>
      <c r="L106" s="2902">
        <f>0.5659/L101</f>
        <v>0.84462686567164169</v>
      </c>
      <c r="M106" s="2902">
        <f>0.5659/M101</f>
        <v>0.84462686567164169</v>
      </c>
      <c r="N106" s="2902">
        <f>0.5659/N101</f>
        <v>0.84462686567164169</v>
      </c>
    </row>
    <row r="107" spans="1:14">
      <c r="A107" s="3251"/>
      <c r="B107" s="2901">
        <v>6</v>
      </c>
      <c r="C107" s="2902">
        <f>0.7608/C101</f>
        <v>1.1355223880597014</v>
      </c>
      <c r="D107" s="2902">
        <f>0.7608/D101</f>
        <v>1.1355223880597014</v>
      </c>
      <c r="E107" s="2902">
        <f>0.6482/E101</f>
        <v>0.96746268656716417</v>
      </c>
      <c r="F107" s="2902">
        <f>0.6482/F101</f>
        <v>0.96746268656716417</v>
      </c>
      <c r="G107" s="2902">
        <f>0.6482/G101</f>
        <v>0.96746268656716417</v>
      </c>
      <c r="H107" s="2902">
        <f>0.6482/H101</f>
        <v>0.96746268656716417</v>
      </c>
      <c r="I107" s="2902">
        <f>0.6482/I101</f>
        <v>0.96746268656716417</v>
      </c>
      <c r="J107" s="2902">
        <f>0.4525/J101</f>
        <v>0.67537313432835822</v>
      </c>
      <c r="K107" s="2902">
        <f>0.4525/K101</f>
        <v>0.67537313432835822</v>
      </c>
      <c r="L107" s="2902">
        <f>0.4525/L101</f>
        <v>0.67537313432835822</v>
      </c>
      <c r="M107" s="2902">
        <f>0.4525/M101</f>
        <v>0.67537313432835822</v>
      </c>
      <c r="N107" s="2902">
        <f>0.4525/N101</f>
        <v>0.67537313432835822</v>
      </c>
    </row>
    <row r="108" spans="1:14">
      <c r="A108" s="3251"/>
      <c r="B108" s="3109" t="s">
        <v>2982</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52"/>
      <c r="B109" s="3110"/>
      <c r="C109" s="2904">
        <f>(-0.163*(C108^2)-0.59*C108+7617)*(10^(-4))/C101</f>
        <v>1.1368656716417911</v>
      </c>
      <c r="D109" s="2904">
        <f>(-0.163*(D108^2)-0.59*D108+7617)*(10^(-4))/D101</f>
        <v>1.1368656716417911</v>
      </c>
      <c r="E109" s="2904">
        <f>(-0.161*(E108^2)-7.509*E108+6533)*(10^(-4))/E101</f>
        <v>0.97507462686567159</v>
      </c>
      <c r="F109" s="2904">
        <f>(-0.161*(F108^2)-7.509*F108+6533)*(10^(-4))/F101</f>
        <v>0.97507462686567159</v>
      </c>
      <c r="G109" s="2904">
        <f>(-0.161*(G108^2)-7.509*G108+6533)*(10^(-4))/G101</f>
        <v>0.97507462686567159</v>
      </c>
      <c r="H109" s="2904">
        <f>(-0.161*(H108^2)-7.509*H108+6533)*(10^(-4))/H101</f>
        <v>0.97507462686567159</v>
      </c>
      <c r="I109" s="2904">
        <f>(-0.161*(I108^2)-7.509*I108+6533)*(10^(-4))/I101</f>
        <v>0.97507462686567159</v>
      </c>
      <c r="J109" s="2904">
        <f>(-0.214*(J108^2)-21.991*J108+4665)*(10^(-4))/J101</f>
        <v>0.69626865671641791</v>
      </c>
      <c r="K109" s="2904">
        <f>(-0.214*(K108^2)-21.991*K108+4665)*(10^(-4))/K101</f>
        <v>0.69626865671641791</v>
      </c>
      <c r="L109" s="2904">
        <f>(-0.214*(L108^2)-21.991*L108+4665)*(10^(-4))/L101</f>
        <v>0.69626865671641791</v>
      </c>
      <c r="M109" s="2904">
        <f>(-0.214*(M108^2)-21.991*M108+4665)*(10^(-4))/M101</f>
        <v>0.69626865671641791</v>
      </c>
      <c r="N109" s="2904">
        <f>(-0.214*(N108^2)-21.991*N108+4665)*(10^(-4))/N101</f>
        <v>0.69626865671641791</v>
      </c>
    </row>
    <row r="110" spans="1:14">
      <c r="A110" s="3248" t="s">
        <v>2983</v>
      </c>
      <c r="B110" s="3248"/>
      <c r="C110" s="3248"/>
      <c r="D110" s="3248"/>
      <c r="E110" s="3248"/>
      <c r="F110" s="3248"/>
      <c r="G110" s="3248"/>
      <c r="H110" s="3248"/>
      <c r="I110" s="3248"/>
      <c r="J110" s="3248"/>
      <c r="K110" s="2907"/>
      <c r="L110" s="2907"/>
      <c r="M110" s="2907"/>
      <c r="N110" s="2907"/>
    </row>
    <row r="112" spans="1:14" ht="13.5" thickBot="1"/>
    <row r="113" spans="1:13" ht="25.5" thickBot="1">
      <c r="A113" s="903" t="s">
        <v>2984</v>
      </c>
      <c r="B113" s="1290">
        <f>G3</f>
        <v>0.67</v>
      </c>
      <c r="C113" s="904" t="s">
        <v>2985</v>
      </c>
      <c r="D113" s="905">
        <f>SUMPRODUCT((A115:A118=F113)*(B114:M114=H113)*B115:M118)</f>
        <v>0.84799999999999998</v>
      </c>
      <c r="E113" s="2730" t="s">
        <v>2817</v>
      </c>
      <c r="F113" s="2909" t="str">
        <f>E2</f>
        <v>办公</v>
      </c>
      <c r="G113" s="2730" t="s">
        <v>2818</v>
      </c>
      <c r="H113" s="2909" t="str">
        <f>G2</f>
        <v>三级</v>
      </c>
      <c r="I113" s="2730"/>
      <c r="J113" s="2910"/>
      <c r="K113" s="2910"/>
      <c r="L113" s="2910"/>
      <c r="M113" s="2910"/>
    </row>
    <row r="114" spans="1:13">
      <c r="A114" s="908"/>
      <c r="B114" s="2911" t="s">
        <v>2986</v>
      </c>
      <c r="C114" s="2911" t="s">
        <v>2987</v>
      </c>
      <c r="D114" s="2911" t="s">
        <v>2988</v>
      </c>
      <c r="E114" s="2912" t="s">
        <v>2989</v>
      </c>
      <c r="F114" s="2912" t="s">
        <v>2990</v>
      </c>
      <c r="G114" s="2912" t="s">
        <v>2991</v>
      </c>
      <c r="H114" s="2913" t="s">
        <v>2992</v>
      </c>
      <c r="I114" s="2913" t="s">
        <v>2993</v>
      </c>
      <c r="J114" s="2914" t="s">
        <v>2994</v>
      </c>
      <c r="K114" s="2914" t="s">
        <v>2995</v>
      </c>
      <c r="L114" s="2914" t="s">
        <v>2996</v>
      </c>
      <c r="M114" s="2915" t="s">
        <v>2997</v>
      </c>
    </row>
    <row r="115" spans="1:13">
      <c r="A115" s="909" t="s">
        <v>2882</v>
      </c>
      <c r="B115" s="910">
        <f>ROUND(0.9335-0.0094*B113,4)</f>
        <v>0.92720000000000002</v>
      </c>
      <c r="C115" s="910">
        <f>B115</f>
        <v>0.92720000000000002</v>
      </c>
      <c r="D115" s="910">
        <f>ROUND(0.8331-0.0109*B113,4)</f>
        <v>0.82579999999999998</v>
      </c>
      <c r="E115" s="910">
        <f>D115</f>
        <v>0.82579999999999998</v>
      </c>
      <c r="F115" s="910">
        <f>E115</f>
        <v>0.82579999999999998</v>
      </c>
      <c r="G115" s="910">
        <f>F115</f>
        <v>0.82579999999999998</v>
      </c>
      <c r="H115" s="910">
        <f>G115</f>
        <v>0.82579999999999998</v>
      </c>
      <c r="I115" s="910">
        <f>ROUND(0.689-0.0155*B113,4)</f>
        <v>0.67859999999999998</v>
      </c>
      <c r="J115" s="910">
        <f t="shared" ref="J115:M118" si="33">I115</f>
        <v>0.67859999999999998</v>
      </c>
      <c r="K115" s="910">
        <f t="shared" si="33"/>
        <v>0.67859999999999998</v>
      </c>
      <c r="L115" s="910">
        <f t="shared" si="33"/>
        <v>0.67859999999999998</v>
      </c>
      <c r="M115" s="911">
        <f t="shared" si="33"/>
        <v>0.67859999999999998</v>
      </c>
    </row>
    <row r="116" spans="1:13">
      <c r="A116" s="909" t="s">
        <v>2883</v>
      </c>
      <c r="B116" s="910">
        <f>ROUND(0.949-0.012*B113,4)</f>
        <v>0.94099999999999995</v>
      </c>
      <c r="C116" s="910">
        <f>B116</f>
        <v>0.94099999999999995</v>
      </c>
      <c r="D116" s="910">
        <f>ROUND(0.8567-0.013*B113,4)</f>
        <v>0.84799999999999998</v>
      </c>
      <c r="E116" s="910">
        <f t="shared" ref="E116:H117" si="34">D116</f>
        <v>0.84799999999999998</v>
      </c>
      <c r="F116" s="910">
        <f t="shared" si="34"/>
        <v>0.84799999999999998</v>
      </c>
      <c r="G116" s="910">
        <f t="shared" si="34"/>
        <v>0.84799999999999998</v>
      </c>
      <c r="H116" s="910">
        <f t="shared" si="34"/>
        <v>0.84799999999999998</v>
      </c>
      <c r="I116" s="910">
        <f>ROUND(0.7694-0.014*B113,4)</f>
        <v>0.76</v>
      </c>
      <c r="J116" s="910">
        <f t="shared" si="33"/>
        <v>0.76</v>
      </c>
      <c r="K116" s="910">
        <f t="shared" si="33"/>
        <v>0.76</v>
      </c>
      <c r="L116" s="910">
        <f t="shared" si="33"/>
        <v>0.76</v>
      </c>
      <c r="M116" s="911">
        <f t="shared" si="33"/>
        <v>0.76</v>
      </c>
    </row>
    <row r="117" spans="1:13">
      <c r="A117" s="909" t="s">
        <v>2884</v>
      </c>
      <c r="B117" s="910">
        <f>ROUND(0.8808-0.006*B113,4)</f>
        <v>0.87680000000000002</v>
      </c>
      <c r="C117" s="910">
        <f>B117</f>
        <v>0.87680000000000002</v>
      </c>
      <c r="D117" s="910">
        <f>ROUND(0.8748-0.008*B113,4)</f>
        <v>0.86939999999999995</v>
      </c>
      <c r="E117" s="910">
        <f t="shared" si="34"/>
        <v>0.86939999999999995</v>
      </c>
      <c r="F117" s="910">
        <f t="shared" si="34"/>
        <v>0.86939999999999995</v>
      </c>
      <c r="G117" s="910">
        <f t="shared" si="34"/>
        <v>0.86939999999999995</v>
      </c>
      <c r="H117" s="910">
        <f t="shared" si="34"/>
        <v>0.86939999999999995</v>
      </c>
      <c r="I117" s="910">
        <f>ROUND(0.7412-0.0095*B113,4)</f>
        <v>0.73480000000000001</v>
      </c>
      <c r="J117" s="910">
        <f t="shared" si="33"/>
        <v>0.73480000000000001</v>
      </c>
      <c r="K117" s="910">
        <f t="shared" si="33"/>
        <v>0.73480000000000001</v>
      </c>
      <c r="L117" s="910">
        <f t="shared" si="33"/>
        <v>0.73480000000000001</v>
      </c>
      <c r="M117" s="911">
        <f t="shared" si="33"/>
        <v>0.73480000000000001</v>
      </c>
    </row>
    <row r="118" spans="1:13" ht="13.5" thickBot="1">
      <c r="A118" s="714" t="s">
        <v>2885</v>
      </c>
      <c r="B118" s="912">
        <f>ROUND(0.7275-0.01*B113,4)</f>
        <v>0.7208</v>
      </c>
      <c r="C118" s="912">
        <f>B118</f>
        <v>0.7208</v>
      </c>
      <c r="D118" s="912">
        <f>ROUND(0.7043-0.012*B113,4)</f>
        <v>0.69630000000000003</v>
      </c>
      <c r="E118" s="912">
        <f>D118</f>
        <v>0.69630000000000003</v>
      </c>
      <c r="F118" s="912">
        <f>E118</f>
        <v>0.69630000000000003</v>
      </c>
      <c r="G118" s="912">
        <f>ROUND(0.6299-0.0122*B113,4)</f>
        <v>0.62170000000000003</v>
      </c>
      <c r="H118" s="912">
        <f>G118</f>
        <v>0.62170000000000003</v>
      </c>
      <c r="I118" s="912">
        <f>ROUND(0.5667-0.0136*B113,4)</f>
        <v>0.55759999999999998</v>
      </c>
      <c r="J118" s="912">
        <f t="shared" si="33"/>
        <v>0.55759999999999998</v>
      </c>
      <c r="K118" s="912">
        <f t="shared" si="33"/>
        <v>0.55759999999999998</v>
      </c>
      <c r="L118" s="912">
        <f t="shared" si="33"/>
        <v>0.55759999999999998</v>
      </c>
      <c r="M118" s="913">
        <f t="shared" si="33"/>
        <v>0.55759999999999998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2.1312000000000002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3006</v>
      </c>
    </row>
    <row r="2" spans="1:5" ht="15.75">
      <c r="A2" s="2916" t="s">
        <v>2998</v>
      </c>
      <c r="B2" s="2917">
        <f ca="1">SUMIF(B6:B13,"&lt;&gt;#ref!",B6:B13)</f>
        <v>52885</v>
      </c>
      <c r="C2" s="2916" t="s">
        <v>2999</v>
      </c>
      <c r="D2" s="2916" t="s">
        <v>3000</v>
      </c>
      <c r="E2" s="2917">
        <f ca="1">SUMIF(E6:E13,"&lt;&gt;#ref!",E6:E13)</f>
        <v>13560</v>
      </c>
    </row>
    <row r="3" spans="1:5" ht="15.75">
      <c r="A3" s="2916" t="s">
        <v>3001</v>
      </c>
      <c r="B3" s="2917">
        <f ca="1">ROUND(B2*10000/E2,0)</f>
        <v>39001</v>
      </c>
      <c r="C3" s="2916" t="s">
        <v>3007</v>
      </c>
      <c r="D3" s="2918"/>
      <c r="E3" s="2918"/>
    </row>
    <row r="4" spans="1:5" ht="15.75">
      <c r="A4" s="2919"/>
      <c r="B4" s="2918"/>
      <c r="C4" s="2918"/>
      <c r="D4" s="2918"/>
      <c r="E4" s="2918"/>
    </row>
    <row r="5" spans="1:5" ht="28.5">
      <c r="A5" s="2920" t="s">
        <v>3002</v>
      </c>
      <c r="B5" s="2916" t="s">
        <v>3003</v>
      </c>
      <c r="C5" s="2917"/>
      <c r="D5" s="2918"/>
      <c r="E5" s="2916" t="s">
        <v>3004</v>
      </c>
    </row>
    <row r="6" spans="1:5" ht="15.75">
      <c r="A6" s="2921" t="s">
        <v>3005</v>
      </c>
      <c r="B6" s="2917">
        <f ca="1">SUMIF(INDIRECT("'"&amp;A6&amp;"'"&amp;"!A:A"),"总价",INDIRECT("'"&amp;A6&amp;"'"&amp;"!B:B"))</f>
        <v>52885</v>
      </c>
      <c r="C6" s="2916" t="s">
        <v>2999</v>
      </c>
      <c r="D6" s="2918"/>
      <c r="E6" s="2581">
        <f ca="1">SUMIF(INDIRECT("'"&amp;A6&amp;"'"&amp;"!C:C"),"建筑面积",INDIRECT("'"&amp;A6&amp;"'"&amp;"!D:D"))</f>
        <v>13560</v>
      </c>
    </row>
    <row r="7" spans="1:5" ht="15.75">
      <c r="A7" s="2921"/>
      <c r="B7" s="2917" t="e">
        <f ca="1">SUMIF(INDIRECT("'"&amp;A7&amp;"'"&amp;"!A:A"),"总价",INDIRECT("'"&amp;A7&amp;"'"&amp;"!B:B"))</f>
        <v>#REF!</v>
      </c>
      <c r="C7" s="2916" t="s">
        <v>2999</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2999</v>
      </c>
      <c r="D8" s="2918"/>
      <c r="E8" s="2581" t="e">
        <f t="shared" ca="1" si="0"/>
        <v>#REF!</v>
      </c>
    </row>
    <row r="9" spans="1:5" ht="15.75">
      <c r="A9" s="2921"/>
      <c r="B9" s="2917" t="e">
        <f t="shared" ca="1" si="1"/>
        <v>#REF!</v>
      </c>
      <c r="C9" s="2916" t="s">
        <v>2999</v>
      </c>
      <c r="D9" s="2918"/>
      <c r="E9" s="2581" t="e">
        <f t="shared" ca="1" si="0"/>
        <v>#REF!</v>
      </c>
    </row>
    <row r="10" spans="1:5" ht="15.75">
      <c r="A10" s="2921"/>
      <c r="B10" s="2917" t="e">
        <f t="shared" ca="1" si="1"/>
        <v>#REF!</v>
      </c>
      <c r="C10" s="2916" t="s">
        <v>2999</v>
      </c>
      <c r="D10" s="2918"/>
      <c r="E10" s="2581" t="e">
        <f t="shared" ca="1" si="0"/>
        <v>#REF!</v>
      </c>
    </row>
    <row r="11" spans="1:5" ht="15.75">
      <c r="A11" s="2921"/>
      <c r="B11" s="2917" t="e">
        <f t="shared" ca="1" si="1"/>
        <v>#REF!</v>
      </c>
      <c r="C11" s="2916" t="s">
        <v>2999</v>
      </c>
      <c r="D11" s="2918"/>
      <c r="E11" s="2581" t="e">
        <f t="shared" ca="1" si="0"/>
        <v>#REF!</v>
      </c>
    </row>
    <row r="12" spans="1:5" ht="15.75">
      <c r="A12" s="2921"/>
      <c r="B12" s="2917" t="e">
        <f t="shared" ca="1" si="1"/>
        <v>#REF!</v>
      </c>
      <c r="C12" s="2916" t="s">
        <v>2999</v>
      </c>
      <c r="D12" s="2918"/>
      <c r="E12" s="2581" t="e">
        <f t="shared" ca="1" si="0"/>
        <v>#REF!</v>
      </c>
    </row>
    <row r="13" spans="1:5" ht="15.75">
      <c r="A13" s="2921"/>
      <c r="B13" s="2917" t="e">
        <f t="shared" ca="1" si="1"/>
        <v>#REF!</v>
      </c>
      <c r="C13" s="2916" t="s">
        <v>2999</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1146</v>
      </c>
      <c r="C1" s="3262"/>
      <c r="D1" s="3262"/>
      <c r="E1" s="3262"/>
      <c r="F1" s="3262"/>
      <c r="G1" s="3261" t="s">
        <v>1147</v>
      </c>
      <c r="H1" s="3261"/>
      <c r="I1" s="3261"/>
      <c r="J1" s="3261"/>
      <c r="K1" s="3261"/>
      <c r="L1" s="3261"/>
      <c r="N1" s="3261" t="s">
        <v>1148</v>
      </c>
      <c r="O1" s="3261"/>
      <c r="P1" s="3261"/>
      <c r="Q1" s="3261"/>
      <c r="R1" s="1449"/>
      <c r="S1" s="3261" t="s">
        <v>1149</v>
      </c>
      <c r="T1" s="3261"/>
      <c r="U1" s="3261"/>
      <c r="V1" s="3261"/>
      <c r="X1" s="3260" t="s">
        <v>1150</v>
      </c>
      <c r="Y1" s="3261"/>
      <c r="Z1" s="3261"/>
      <c r="AA1" s="3261"/>
      <c r="AB1" s="3261"/>
      <c r="AD1" s="3260" t="s">
        <v>1151</v>
      </c>
      <c r="AE1" s="3261"/>
      <c r="AF1" s="3261"/>
      <c r="AG1" s="3261"/>
      <c r="AH1" s="326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5" customFormat="1" ht="14.25">
      <c r="A3" s="2944" t="s">
        <v>3041</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3048</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3042</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3049</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3047</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3037</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3">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5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5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5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5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5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5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5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5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5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5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5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64">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5"/>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65"/>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66"/>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5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5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5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5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5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5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5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5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5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5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5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5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5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5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5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5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5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5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5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5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5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5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5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5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5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5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5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5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5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5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5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5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5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5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5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5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57">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58">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58">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59">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57">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58">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58">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5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268" t="s">
        <v>3009</v>
      </c>
      <c r="D1" s="3269"/>
      <c r="E1" s="3269"/>
      <c r="F1" s="3269"/>
      <c r="G1" s="3269"/>
      <c r="H1" s="3269"/>
      <c r="I1" s="3269"/>
      <c r="J1" s="3269"/>
      <c r="K1" s="3269"/>
      <c r="L1" s="3269"/>
      <c r="M1" s="3269"/>
      <c r="N1" s="3269"/>
      <c r="O1" s="3269"/>
      <c r="P1" s="3269"/>
      <c r="Q1" s="3269"/>
      <c r="R1" s="3269"/>
      <c r="S1" s="3270"/>
      <c r="T1" s="1207" t="s">
        <v>3010</v>
      </c>
    </row>
    <row r="2" spans="1:45" s="707" customFormat="1">
      <c r="A2" s="1208"/>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3018</v>
      </c>
      <c r="B17" s="2923"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5" t="s">
        <v>3022</v>
      </c>
      <c r="E20" s="1796"/>
      <c r="F20" s="1207" t="e">
        <f ca="1">SUMIF(INDIRECT("'"&amp;H20&amp;"'"&amp;"!A:A"),"承租人权益价值",INDIRECT("'"&amp;H20&amp;"'"&amp;"!c:c"))</f>
        <v>#REF!</v>
      </c>
      <c r="G20" s="1207" t="s">
        <v>3023</v>
      </c>
      <c r="H20" s="2926"/>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31" t="s">
        <v>33</v>
      </c>
      <c r="D22" s="3132"/>
      <c r="E22" s="3132"/>
      <c r="F22" s="3132"/>
      <c r="G22" s="3132"/>
      <c r="H22" s="3132"/>
      <c r="I22" s="3132"/>
      <c r="J22" s="3132"/>
      <c r="K22" s="3132"/>
      <c r="L22" s="3132"/>
      <c r="M22" s="3132"/>
      <c r="N22" s="3132"/>
      <c r="O22" s="3132"/>
      <c r="P22" s="3132"/>
      <c r="Q22" s="3267"/>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估价结果一览表（市场价值不需“结果表-1”）</v>
      </c>
      <c r="B3" s="2956"/>
      <c r="C3" s="2956"/>
      <c r="D3" s="2956"/>
      <c r="E3" s="2956"/>
    </row>
    <row r="4" spans="1:5" ht="19.5" thickBot="1">
      <c r="A4" s="1964"/>
      <c r="B4" s="2954" t="s">
        <v>1626</v>
      </c>
      <c r="C4" s="2954"/>
      <c r="D4" s="2954"/>
      <c r="E4" s="1964"/>
    </row>
    <row r="5" spans="1:5" ht="16.5" thickTop="1">
      <c r="A5" s="1962"/>
      <c r="B5" s="2952" t="s">
        <v>1618</v>
      </c>
      <c r="C5" s="1965" t="s">
        <v>1619</v>
      </c>
      <c r="D5" s="1043" t="e">
        <f ca="1">结果表!H101</f>
        <v>#REF!</v>
      </c>
      <c r="E5" s="1962"/>
    </row>
    <row r="6" spans="1:5" ht="15.75">
      <c r="A6" s="1962"/>
      <c r="B6" s="2952"/>
      <c r="C6" s="1965" t="s">
        <v>1620</v>
      </c>
      <c r="D6" s="1043" t="e">
        <f ca="1">NUMBERSTRING(INT(D5*10000),2)&amp;"元整"</f>
        <v>#REF!</v>
      </c>
      <c r="E6" s="1962"/>
    </row>
    <row r="7" spans="1:5" ht="15.75">
      <c r="A7" s="1962"/>
      <c r="B7" s="2957"/>
      <c r="C7" s="1966" t="s">
        <v>1621</v>
      </c>
      <c r="D7" s="1044" t="e">
        <f ca="1">结果表!H102</f>
        <v>#REF!</v>
      </c>
      <c r="E7" s="1962"/>
    </row>
    <row r="8" spans="1:5" ht="15.75">
      <c r="A8" s="1962"/>
      <c r="B8" s="2958" t="str">
        <f>结果表!E103</f>
        <v>2.估价师知悉的法定优先受偿款</v>
      </c>
      <c r="C8" s="1967" t="s">
        <v>1622</v>
      </c>
      <c r="D8" s="1044">
        <f>结果表!H103</f>
        <v>0</v>
      </c>
      <c r="E8" s="1962"/>
    </row>
    <row r="9" spans="1:5" ht="15.75">
      <c r="A9" s="1962"/>
      <c r="B9" s="296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1" t="str">
        <f>结果表!E107</f>
        <v>——</v>
      </c>
      <c r="C13" s="1970" t="s">
        <v>1619</v>
      </c>
      <c r="D13" s="1046" t="str">
        <f>结果表!H107</f>
        <v>——</v>
      </c>
      <c r="E13" s="1962"/>
    </row>
    <row r="14" spans="1:5" ht="15.75">
      <c r="A14" s="1962"/>
      <c r="B14" s="2952"/>
      <c r="C14" s="1965" t="s">
        <v>1620</v>
      </c>
      <c r="D14" s="1043" t="e">
        <f>NUMBERSTRING(INT(D13*10000),2)&amp;"元整"</f>
        <v>#VALUE!</v>
      </c>
      <c r="E14" s="1962"/>
    </row>
    <row r="15" spans="1:5" ht="15">
      <c r="A15" s="1962"/>
      <c r="B15" s="2957"/>
      <c r="C15" s="1966" t="s">
        <v>1630</v>
      </c>
      <c r="D15" s="1055" t="e">
        <f>结果表!H108</f>
        <v>#VALUE!</v>
      </c>
      <c r="E15" s="1962"/>
    </row>
    <row r="16" spans="1:5" ht="15">
      <c r="A16" s="1962"/>
      <c r="B16" s="2958" t="str">
        <f>结果表!E109</f>
        <v>3.抵押担保权已注销时的房地产抵押价值</v>
      </c>
      <c r="C16" s="1970" t="s">
        <v>1631</v>
      </c>
      <c r="D16" s="1971" t="e">
        <f ca="1">结果表!H109</f>
        <v>#REF!</v>
      </c>
      <c r="E16" s="1962"/>
    </row>
    <row r="17" spans="1:5" ht="15.75">
      <c r="A17" s="1962"/>
      <c r="B17" s="2959"/>
      <c r="C17" s="1965" t="s">
        <v>1632</v>
      </c>
      <c r="D17" s="1043" t="e">
        <f ca="1">NUMBERSTRING(INT(D16*10000),2)&amp;"元整"</f>
        <v>#REF!</v>
      </c>
      <c r="E17" s="1962"/>
    </row>
    <row r="18" spans="1:5" ht="15">
      <c r="A18" s="1962"/>
      <c r="B18" s="2960"/>
      <c r="C18" s="1966" t="s">
        <v>1621</v>
      </c>
      <c r="D18" s="1055" t="e">
        <f ca="1">结果表!H110</f>
        <v>#REF!</v>
      </c>
      <c r="E18" s="1962"/>
    </row>
    <row r="19" spans="1:5" ht="15.75">
      <c r="A19" s="1962"/>
      <c r="B19" s="2951" t="str">
        <f>结果表!E111</f>
        <v>——</v>
      </c>
      <c r="C19" s="1970" t="s">
        <v>1619</v>
      </c>
      <c r="D19" s="1044" t="str">
        <f>结果表!H111</f>
        <v>——</v>
      </c>
      <c r="E19" s="1962"/>
    </row>
    <row r="20" spans="1:5" ht="15.75">
      <c r="A20" s="1962"/>
      <c r="B20" s="2952"/>
      <c r="C20" s="1965" t="s">
        <v>1632</v>
      </c>
      <c r="D20" s="1043" t="e">
        <f>NUMBERSTRING(INT(D19*10000),2)&amp;"元整"</f>
        <v>#VALUE!</v>
      </c>
      <c r="E20" s="1962"/>
    </row>
    <row r="21" spans="1:5" ht="15.75" thickBot="1">
      <c r="A21" s="1962"/>
      <c r="B21" s="295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#DIV/0!</v>
      </c>
      <c r="C2" s="2" t="s">
        <v>133</v>
      </c>
      <c r="D2" s="243"/>
      <c r="E2" s="243"/>
      <c r="F2" s="243"/>
      <c r="G2" s="243"/>
    </row>
    <row r="3" spans="1:7" s="244" customFormat="1" ht="18" customHeight="1" thickBot="1">
      <c r="A3" s="247" t="s">
        <v>85</v>
      </c>
      <c r="B3" s="248" t="e">
        <f ca="1">ROUND(B2*10000/'数据-汇总表'!E3,0)</f>
        <v>#DIV/0!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20000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0</v>
      </c>
      <c r="D7" s="264"/>
      <c r="E7" s="262"/>
      <c r="F7" s="265">
        <f>'数据-取费表'!B48+'数据-取费表'!B49</f>
        <v>0</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0</v>
      </c>
      <c r="D19" s="1039">
        <f>'数据-汇总表'!E3</f>
        <v>0</v>
      </c>
      <c r="E19" s="255">
        <f>'数据-取费表'!B31</f>
        <v>200</v>
      </c>
      <c r="F19" s="275"/>
      <c r="G19" s="1" t="s">
        <v>1071</v>
      </c>
    </row>
    <row r="20" spans="1:7" s="258" customFormat="1" ht="13.5" customHeight="1">
      <c r="A20" s="951" t="s">
        <v>1054</v>
      </c>
      <c r="B20" s="254" t="s">
        <v>104</v>
      </c>
      <c r="C20" s="276">
        <f>ROUND((C5+C19)*F20,0)</f>
        <v>0</v>
      </c>
      <c r="D20" s="276"/>
      <c r="E20" s="276"/>
      <c r="F20" s="277">
        <f>'数据-取费表'!B37</f>
        <v>0</v>
      </c>
      <c r="G20" s="1292" t="s">
        <v>1065</v>
      </c>
    </row>
    <row r="21" spans="1:7" s="258" customFormat="1" ht="13.5" customHeight="1">
      <c r="A21" s="951" t="s">
        <v>1056</v>
      </c>
      <c r="B21" s="254" t="s">
        <v>105</v>
      </c>
      <c r="C21" s="279">
        <f>F21</f>
        <v>0</v>
      </c>
      <c r="D21" s="280" t="s">
        <v>126</v>
      </c>
      <c r="E21" s="276"/>
      <c r="F21" s="277">
        <f>'数据-取费表'!B38</f>
        <v>0</v>
      </c>
      <c r="G21" s="278" t="s">
        <v>106</v>
      </c>
    </row>
    <row r="22" spans="1:7" s="258" customFormat="1" ht="13.5" customHeight="1">
      <c r="A22" s="951" t="s">
        <v>786</v>
      </c>
      <c r="B22" s="254" t="s">
        <v>107</v>
      </c>
      <c r="C22" s="1357">
        <f ca="1">ROUND(SUM(C23:C25),0)</f>
        <v>0</v>
      </c>
      <c r="D22" s="279">
        <f ca="1">C26</f>
        <v>0</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0</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0</v>
      </c>
      <c r="D25" s="282"/>
      <c r="E25" s="285"/>
      <c r="F25" s="283"/>
      <c r="G25" s="286" t="s">
        <v>110</v>
      </c>
    </row>
    <row r="26" spans="1:7" s="258" customFormat="1">
      <c r="A26" s="954" t="s">
        <v>795</v>
      </c>
      <c r="B26" s="259" t="s">
        <v>1057</v>
      </c>
      <c r="C26" s="282">
        <f ca="1">ROUND(IF('数据-取费表'!B22&lt;=1,F21*F22*'数据-取费表'!B23/2,F21*(POWER((1+F22),'数据-取费表'!B23/2)-1)),4)</f>
        <v>0</v>
      </c>
      <c r="D26" s="282"/>
      <c r="E26" s="285"/>
      <c r="F26" s="283"/>
      <c r="G26" s="287"/>
    </row>
    <row r="27" spans="1:7" s="258" customFormat="1" ht="24.75">
      <c r="A27" s="951" t="s">
        <v>787</v>
      </c>
      <c r="B27" s="288" t="s">
        <v>112</v>
      </c>
      <c r="C27" s="289" t="e">
        <f>C28</f>
        <v>#DIV/0!</v>
      </c>
      <c r="D27" s="279" t="e">
        <f>C29</f>
        <v>#DIV/0!</v>
      </c>
      <c r="E27" s="280" t="s">
        <v>126</v>
      </c>
      <c r="F27" s="290" t="e">
        <f>'数据-取费表'!Q16</f>
        <v>#DIV/0!</v>
      </c>
      <c r="G27" s="291" t="s">
        <v>1066</v>
      </c>
    </row>
    <row r="28" spans="1:7" s="258" customFormat="1" ht="13.5" customHeight="1">
      <c r="A28" s="954" t="s">
        <v>794</v>
      </c>
      <c r="B28" s="292" t="s">
        <v>1059</v>
      </c>
      <c r="C28" s="293" t="e">
        <f>ROUND((C5+C19+C20)*F27*'数据-取费表'!B21/'数据-取费表'!B20,0)</f>
        <v>#DIV/0!</v>
      </c>
      <c r="D28" s="279"/>
      <c r="E28" s="280"/>
      <c r="F28" s="290"/>
      <c r="G28" s="291"/>
    </row>
    <row r="29" spans="1:7" s="258" customFormat="1" ht="13.5" customHeight="1">
      <c r="A29" s="954" t="s">
        <v>792</v>
      </c>
      <c r="B29" s="292" t="s">
        <v>1060</v>
      </c>
      <c r="C29" s="282" t="e">
        <f>ROUND(C21*F27*'数据-取费表'!B21/'数据-取费表'!B20,4)</f>
        <v>#DIV/0!</v>
      </c>
      <c r="D29" s="279"/>
      <c r="E29" s="280"/>
      <c r="F29" s="290"/>
      <c r="G29" s="291"/>
    </row>
    <row r="30" spans="1:7" s="258" customFormat="1" ht="13.5" customHeight="1">
      <c r="A30" s="951"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#DIV/0!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t="e">
        <f>SUM(C34:C38)</f>
        <v>#DIV/0!</v>
      </c>
      <c r="D33" s="276"/>
      <c r="E33" s="256"/>
      <c r="F33" s="285"/>
      <c r="G33" s="278"/>
    </row>
    <row r="34" spans="1:7" s="302" customFormat="1" ht="13.5" customHeight="1">
      <c r="A34" s="954" t="s">
        <v>794</v>
      </c>
      <c r="B34" s="259" t="s">
        <v>59</v>
      </c>
      <c r="C34" s="264" t="e">
        <f>IF(F34=100%,'数据-取费表'!M16-SUMIF('数据-取费表'!C:C,"公共配套",'数据-取费表'!M:M),'数据-取费表'!O16-SUMIF('数据-取费表'!C:C,"公共配套",'数据-取费表'!O:O))</f>
        <v>#DIV/0!</v>
      </c>
      <c r="D34" s="261"/>
      <c r="E34" s="264"/>
      <c r="F34" s="301" t="e">
        <f>IF('数据-取费表'!B24=0,1,'数据-取费表'!N16)</f>
        <v>#DIV/0!</v>
      </c>
      <c r="G34" s="263" t="s">
        <v>116</v>
      </c>
    </row>
    <row r="35" spans="1:7" ht="13.5" customHeight="1">
      <c r="A35" s="954" t="s">
        <v>796</v>
      </c>
      <c r="B35" s="259" t="s">
        <v>60</v>
      </c>
      <c r="C35" s="264" t="e">
        <f>ROUND(C34*F35,0)</f>
        <v>#DIV/0!</v>
      </c>
      <c r="D35" s="264"/>
      <c r="E35" s="264"/>
      <c r="F35" s="303">
        <f>'数据-取费表'!B33</f>
        <v>0</v>
      </c>
      <c r="G35" s="263" t="s">
        <v>117</v>
      </c>
    </row>
    <row r="36" spans="1:7" ht="24">
      <c r="A36" s="954" t="s">
        <v>797</v>
      </c>
      <c r="B36" s="259" t="s">
        <v>61</v>
      </c>
      <c r="C36" s="264" t="e">
        <f>ROUND(IF(SUMIF('数据-取费表'!C:C,"住宅",IF(F34=100%,'数据-取费表'!M:M,'数据-取费表'!O:O))=0,0,IF(F36=0,SUMIF('数据-取费表'!C:C,"公共配套",IF(F34=100%,'数据-取费表'!M:M,'数据-取费表'!O:O)),SUMIF('数据-取费表'!C:C,"住宅",IF(F34=100%,'数据-取费表'!M:M,'数据-取费表'!O:O))*F36)),0)</f>
        <v>#DIV/0!</v>
      </c>
      <c r="D36" s="264"/>
      <c r="E36" s="264"/>
      <c r="F36" s="303">
        <f>'数据-取费表'!B34</f>
        <v>0</v>
      </c>
      <c r="G36" s="304" t="s">
        <v>62</v>
      </c>
    </row>
    <row r="37" spans="1:7" s="302" customFormat="1" ht="13.5" customHeight="1">
      <c r="A37" s="954" t="s">
        <v>798</v>
      </c>
      <c r="B37" s="259" t="s">
        <v>118</v>
      </c>
      <c r="C37" s="293" t="e">
        <f>ROUND(E37*D37*F34/10000,0)</f>
        <v>#DIV/0!</v>
      </c>
      <c r="D37" s="261">
        <f>'数据-汇总表'!E3</f>
        <v>0</v>
      </c>
      <c r="E37" s="293">
        <f>'数据-取费表'!B35</f>
        <v>0</v>
      </c>
      <c r="F37" s="303"/>
      <c r="G37" s="305" t="s">
        <v>119</v>
      </c>
    </row>
    <row r="38" spans="1:7" ht="13.5" customHeight="1">
      <c r="A38" s="954" t="s">
        <v>799</v>
      </c>
      <c r="B38" s="259" t="s">
        <v>63</v>
      </c>
      <c r="C38" s="264" t="e">
        <f>ROUND(C34*F38,0)</f>
        <v>#DIV/0!</v>
      </c>
      <c r="D38" s="264"/>
      <c r="E38" s="264"/>
      <c r="F38" s="303">
        <f>'数据-取费表'!B36</f>
        <v>0</v>
      </c>
      <c r="G38" s="263" t="s">
        <v>117</v>
      </c>
    </row>
    <row r="39" spans="1:7" s="258" customFormat="1" ht="13.5" customHeight="1">
      <c r="A39" s="951" t="s">
        <v>783</v>
      </c>
      <c r="B39" s="254" t="s">
        <v>104</v>
      </c>
      <c r="C39" s="276" t="e">
        <f>ROUND(C33*F20,0)</f>
        <v>#DIV/0!</v>
      </c>
      <c r="D39" s="276"/>
      <c r="E39" s="276"/>
      <c r="F39" s="277"/>
      <c r="G39" s="1292" t="s">
        <v>1068</v>
      </c>
    </row>
    <row r="40" spans="1:7" s="258" customFormat="1" ht="13.5" customHeight="1">
      <c r="A40" s="951" t="s">
        <v>784</v>
      </c>
      <c r="B40" s="254" t="s">
        <v>105</v>
      </c>
      <c r="C40" s="306">
        <f>F21</f>
        <v>0</v>
      </c>
      <c r="D40" s="280" t="s">
        <v>129</v>
      </c>
      <c r="E40" s="276"/>
      <c r="F40" s="277"/>
      <c r="G40" s="278" t="s">
        <v>120</v>
      </c>
    </row>
    <row r="41" spans="1:7" s="258" customFormat="1" ht="13.5" customHeight="1">
      <c r="A41" s="951" t="s">
        <v>785</v>
      </c>
      <c r="B41" s="254" t="s">
        <v>107</v>
      </c>
      <c r="C41" s="276" t="e">
        <f ca="1">ROUND(SUM(C42:C43),0)</f>
        <v>#DIV/0!</v>
      </c>
      <c r="D41" s="279">
        <f ca="1">C44</f>
        <v>0</v>
      </c>
      <c r="E41" s="280" t="s">
        <v>129</v>
      </c>
      <c r="F41" s="281"/>
      <c r="G41" s="1292" t="str">
        <f>IF('数据-取费表'!B22&lt;=1,"单利计息","复利计息")</f>
        <v>复利计息</v>
      </c>
    </row>
    <row r="42" spans="1:7" ht="13.5" customHeight="1">
      <c r="A42" s="954" t="s">
        <v>794</v>
      </c>
      <c r="B42" s="259" t="s">
        <v>1058</v>
      </c>
      <c r="C42" s="282" t="e">
        <f ca="1">ROUND(IF('数据-取费表'!B22&lt;=1,C33*F22*'数据-取费表'!B21/2,C33*(POWER((1+F22),'数据-取费表'!B21/2)-1)),0)</f>
        <v>#DIV/0!</v>
      </c>
      <c r="D42" s="282"/>
      <c r="E42" s="282"/>
      <c r="F42" s="283"/>
      <c r="G42" s="3136" t="s">
        <v>121</v>
      </c>
    </row>
    <row r="43" spans="1:7" ht="13.5" customHeight="1">
      <c r="A43" s="954" t="s">
        <v>792</v>
      </c>
      <c r="B43" s="259" t="s">
        <v>1061</v>
      </c>
      <c r="C43" s="282" t="e">
        <f ca="1">ROUND(IF('数据-取费表'!B22&lt;=1,C39*F22*'数据-取费表'!B21/2,C39*(POWER((1+F22),'数据-取费表'!B21/2)-1)),0)</f>
        <v>#DIV/0!</v>
      </c>
      <c r="D43" s="282"/>
      <c r="E43" s="282"/>
      <c r="F43" s="283"/>
      <c r="G43" s="3137"/>
    </row>
    <row r="44" spans="1:7" ht="13.5" customHeight="1">
      <c r="A44" s="954" t="s">
        <v>793</v>
      </c>
      <c r="B44" s="259" t="s">
        <v>1063</v>
      </c>
      <c r="C44" s="282">
        <f ca="1">ROUND(IF('数据-取费表'!B22&lt;=1,C40*F22*'数据-取费表'!B21/2,C40*(POWER((1+F22),'数据-取费表'!B21/2)-1)),4)</f>
        <v>0</v>
      </c>
      <c r="D44" s="282"/>
      <c r="E44" s="282"/>
      <c r="F44" s="283"/>
      <c r="G44" s="3138"/>
    </row>
    <row r="45" spans="1:7" s="258" customFormat="1" ht="13.5" customHeight="1">
      <c r="A45" s="951" t="s">
        <v>786</v>
      </c>
      <c r="B45" s="288" t="s">
        <v>112</v>
      </c>
      <c r="C45" s="289" t="e">
        <f>C46</f>
        <v>#DIV/0!</v>
      </c>
      <c r="D45" s="279" t="e">
        <f>C47</f>
        <v>#DIV/0!</v>
      </c>
      <c r="E45" s="280" t="s">
        <v>129</v>
      </c>
      <c r="F45" s="290"/>
      <c r="G45" s="291" t="s">
        <v>1069</v>
      </c>
    </row>
    <row r="46" spans="1:7" s="258" customFormat="1" ht="13.5" customHeight="1">
      <c r="A46" s="954" t="s">
        <v>794</v>
      </c>
      <c r="B46" s="292" t="s">
        <v>1062</v>
      </c>
      <c r="C46" s="293" t="e">
        <f>ROUND((C33+C39)*F27,0)</f>
        <v>#DIV/0!</v>
      </c>
      <c r="D46" s="307"/>
      <c r="E46" s="280"/>
      <c r="F46" s="290"/>
      <c r="G46" s="291"/>
    </row>
    <row r="47" spans="1:7" s="258" customFormat="1" ht="13.5" customHeight="1">
      <c r="A47" s="954" t="s">
        <v>792</v>
      </c>
      <c r="B47" s="292" t="s">
        <v>1064</v>
      </c>
      <c r="C47" s="282" t="e">
        <f>ROUND(C40*F27,4)</f>
        <v>#DIV/0!</v>
      </c>
      <c r="D47" s="307"/>
      <c r="E47" s="280"/>
      <c r="F47" s="290"/>
      <c r="G47" s="291"/>
    </row>
    <row r="48" spans="1:7" s="258" customFormat="1" ht="13.5" customHeight="1">
      <c r="A48" s="951" t="s">
        <v>787</v>
      </c>
      <c r="B48" s="254" t="s">
        <v>122</v>
      </c>
      <c r="C48" s="306">
        <f>F30</f>
        <v>0</v>
      </c>
      <c r="D48" s="280" t="s">
        <v>130</v>
      </c>
      <c r="E48" s="276"/>
      <c r="F48" s="281"/>
      <c r="G48" s="278" t="s">
        <v>123</v>
      </c>
    </row>
    <row r="49" spans="1:7" ht="16.5" customHeight="1">
      <c r="A49" s="951" t="s">
        <v>788</v>
      </c>
      <c r="B49" s="254" t="s">
        <v>131</v>
      </c>
      <c r="C49" s="276" t="e">
        <f ca="1">ROUND((C33+C39+C41+C45)/(1-C40-D41-D45-C48/(1+'数据-取费表'!B42)),0)</f>
        <v>#DIV/0!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t="e">
        <f ca="1">ROUND(C49*F50,0)</f>
        <v>#DIV/0!</v>
      </c>
      <c r="D51" s="276"/>
      <c r="E51" s="276"/>
      <c r="F51" s="308"/>
      <c r="G51" s="278" t="s">
        <v>64</v>
      </c>
    </row>
    <row r="52" spans="1:7" s="252" customFormat="1" ht="16.5" thickBot="1">
      <c r="A52" s="309" t="s">
        <v>65</v>
      </c>
      <c r="B52" s="310"/>
      <c r="C52" s="311" t="e">
        <f ca="1">C31+C51</f>
        <v>#DIV/0!</v>
      </c>
      <c r="D52" s="310"/>
      <c r="E52" s="310"/>
      <c r="F52" s="310"/>
      <c r="G52" s="312"/>
    </row>
    <row r="55" spans="1:7" ht="15">
      <c r="B55" s="314" t="s">
        <v>66</v>
      </c>
      <c r="C55" s="315"/>
    </row>
    <row r="56" spans="1:7">
      <c r="B56" s="317" t="s">
        <v>67</v>
      </c>
      <c r="C56" s="318" t="e">
        <f ca="1">ROUND(C51/C52,3)</f>
        <v>#DIV/0!</v>
      </c>
    </row>
    <row r="57" spans="1:7">
      <c r="B57" s="317" t="s">
        <v>68</v>
      </c>
      <c r="C57" s="319"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1" t="s">
        <v>156</v>
      </c>
      <c r="B1" s="3271"/>
      <c r="C1" s="3271"/>
      <c r="D1" s="3271"/>
      <c r="E1" s="3271"/>
      <c r="F1" s="32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2" t="s">
        <v>169</v>
      </c>
      <c r="B2" s="3272"/>
      <c r="C2" s="3272"/>
      <c r="D2" s="3272"/>
      <c r="E2" s="3272"/>
      <c r="F2" s="32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1" t="s">
        <v>868</v>
      </c>
      <c r="B1" s="327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43465</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0" t="str">
        <f>IF(项目基本情况!B9="房地产市场价值","估价结果一览表","结果表-2")</f>
        <v>估价结果一览表</v>
      </c>
      <c r="B1" s="2970"/>
      <c r="C1" s="2970"/>
      <c r="D1" s="2970"/>
      <c r="E1" s="2970"/>
      <c r="F1" s="2970"/>
      <c r="G1" s="2970"/>
      <c r="H1" s="2970"/>
      <c r="I1" s="2970"/>
    </row>
    <row r="2" spans="1:9" ht="30" customHeight="1" thickTop="1">
      <c r="A2" s="2971" t="s">
        <v>1637</v>
      </c>
      <c r="B2" s="2971" t="s">
        <v>1638</v>
      </c>
      <c r="C2" s="2971" t="s">
        <v>1639</v>
      </c>
      <c r="D2" s="2971" t="str">
        <f>结果表!D116</f>
        <v>出让国有建设用地使用权价值</v>
      </c>
      <c r="E2" s="2971"/>
      <c r="F2" s="2971" t="str">
        <f>结果表!F116</f>
        <v>在建建筑物价值</v>
      </c>
      <c r="G2" s="2971"/>
      <c r="H2" s="2971" t="str">
        <f>IF(项目基本情况!B9="房地产市场价值","房地产市场价值","房地产价值")</f>
        <v>房地产市场价值</v>
      </c>
      <c r="I2" s="2971"/>
    </row>
    <row r="3" spans="1:9" ht="15">
      <c r="A3" s="2965"/>
      <c r="B3" s="2965"/>
      <c r="C3" s="2965"/>
      <c r="D3" s="1047" t="s">
        <v>1634</v>
      </c>
      <c r="E3" s="1047" t="s">
        <v>1640</v>
      </c>
      <c r="F3" s="1047" t="s">
        <v>1634</v>
      </c>
      <c r="G3" s="1047" t="s">
        <v>1635</v>
      </c>
      <c r="H3" s="1047" t="s">
        <v>1634</v>
      </c>
      <c r="I3" s="1047" t="s">
        <v>1635</v>
      </c>
    </row>
    <row r="4" spans="1:9" ht="30">
      <c r="A4" s="1976" t="str">
        <f>项目基本情况!S2</f>
        <v>北京市红领巾公园南侧建设项目出让国有建设用地使用权及在建建筑物房地产</v>
      </c>
      <c r="B4" s="1047">
        <f>项目基本情况!C17</f>
        <v>0</v>
      </c>
      <c r="C4" s="1047">
        <f>项目基本情况!C18</f>
        <v>0</v>
      </c>
      <c r="D4" s="1047" t="e">
        <f ca="1">结果表!D118</f>
        <v>#REF!</v>
      </c>
      <c r="E4" s="1047" t="e">
        <f ca="1">结果表!E118</f>
        <v>#REF!</v>
      </c>
      <c r="F4" s="1047" t="e">
        <f ca="1">结果表!F118</f>
        <v>#REF!</v>
      </c>
      <c r="G4" s="1047" t="e">
        <f ca="1">结果表!G118</f>
        <v>#REF!</v>
      </c>
      <c r="H4" s="1047" t="e">
        <f ca="1">结果表!H118</f>
        <v>#REF!</v>
      </c>
      <c r="I4" s="1047" t="e">
        <f ca="1">结果表!I118</f>
        <v>#REF!</v>
      </c>
    </row>
    <row r="5" spans="1:9" ht="30" customHeight="1">
      <c r="A5" s="2965" t="s">
        <v>1636</v>
      </c>
      <c r="B5" s="2965"/>
      <c r="C5" s="2965"/>
      <c r="D5" s="2966" t="e">
        <f ca="1">结果表!D119</f>
        <v>#REF!</v>
      </c>
      <c r="E5" s="2966"/>
      <c r="F5" s="2966" t="e">
        <f ca="1">结果表!F119</f>
        <v>#REF!</v>
      </c>
      <c r="G5" s="2966"/>
      <c r="H5" s="2966" t="e">
        <f ca="1">结果表!H119</f>
        <v>#REF!</v>
      </c>
      <c r="I5" s="2966"/>
    </row>
    <row r="6" spans="1:9" ht="15.75">
      <c r="A6" s="2964" t="str">
        <f>结果表!A120</f>
        <v/>
      </c>
      <c r="B6" s="2964"/>
      <c r="C6" s="2964"/>
      <c r="D6" s="2964">
        <f>结果表!D120</f>
        <v>0</v>
      </c>
      <c r="E6" s="2964"/>
      <c r="F6" s="2964"/>
      <c r="G6" s="2964"/>
      <c r="H6" s="2964"/>
      <c r="I6" s="2964"/>
    </row>
    <row r="7" spans="1:9" ht="15">
      <c r="A7" s="2965" t="s">
        <v>1636</v>
      </c>
      <c r="B7" s="2965"/>
      <c r="C7" s="2965"/>
      <c r="D7" s="2967" t="str">
        <f>结果表!D121</f>
        <v>零元整</v>
      </c>
      <c r="E7" s="2968"/>
      <c r="F7" s="2968"/>
      <c r="G7" s="2968"/>
      <c r="H7" s="2968"/>
      <c r="I7" s="2969"/>
    </row>
    <row r="8" spans="1:9" ht="15.75">
      <c r="A8" s="2964" t="str">
        <f>结果表!A122</f>
        <v/>
      </c>
      <c r="B8" s="2964"/>
      <c r="C8" s="2964"/>
      <c r="D8" s="2964" t="str">
        <f>结果表!D122</f>
        <v>——</v>
      </c>
      <c r="E8" s="2964"/>
      <c r="F8" s="2964"/>
      <c r="G8" s="2964"/>
      <c r="H8" s="2964"/>
      <c r="I8" s="2964"/>
    </row>
    <row r="9" spans="1:9" ht="15">
      <c r="A9" s="2965" t="s">
        <v>1636</v>
      </c>
      <c r="B9" s="2965"/>
      <c r="C9" s="2965"/>
      <c r="D9" s="2966" t="e">
        <f>结果表!D123</f>
        <v>#VALUE!</v>
      </c>
      <c r="E9" s="2966"/>
      <c r="F9" s="2966"/>
      <c r="G9" s="2966"/>
      <c r="H9" s="2966"/>
      <c r="I9" s="2966"/>
    </row>
    <row r="10" spans="1:9" ht="15.75">
      <c r="A10" s="2964" t="str">
        <f>结果表!A124</f>
        <v/>
      </c>
      <c r="B10" s="2964"/>
      <c r="C10" s="2964"/>
      <c r="D10" s="2964" t="e">
        <f ca="1">结果表!D124</f>
        <v>#REF!</v>
      </c>
      <c r="E10" s="2964"/>
      <c r="F10" s="2964"/>
      <c r="G10" s="2964"/>
      <c r="H10" s="2964"/>
      <c r="I10" s="2964"/>
    </row>
    <row r="11" spans="1:9" ht="15">
      <c r="A11" s="2965" t="s">
        <v>1636</v>
      </c>
      <c r="B11" s="2965"/>
      <c r="C11" s="2965"/>
      <c r="D11" s="2966" t="e">
        <f ca="1">结果表!D125</f>
        <v>#REF!</v>
      </c>
      <c r="E11" s="2966"/>
      <c r="F11" s="2966"/>
      <c r="G11" s="2966"/>
      <c r="H11" s="2966"/>
      <c r="I11" s="2966"/>
    </row>
    <row r="12" spans="1:9" ht="15.75">
      <c r="A12" s="2964" t="str">
        <f>结果表!A126</f>
        <v/>
      </c>
      <c r="B12" s="2964"/>
      <c r="C12" s="2964"/>
      <c r="D12" s="2964" t="str">
        <f>结果表!D126</f>
        <v>——</v>
      </c>
      <c r="E12" s="2964"/>
      <c r="F12" s="2964"/>
      <c r="G12" s="2964"/>
      <c r="H12" s="2964"/>
      <c r="I12" s="2964"/>
    </row>
    <row r="13" spans="1:9" ht="15.75" thickBot="1">
      <c r="A13" s="2961" t="s">
        <v>1636</v>
      </c>
      <c r="B13" s="2961"/>
      <c r="C13" s="2961"/>
      <c r="D13" s="2962" t="e">
        <f>结果表!D127</f>
        <v>#VALUE!</v>
      </c>
      <c r="E13" s="2962"/>
      <c r="F13" s="2962"/>
      <c r="G13" s="2962"/>
      <c r="H13" s="2962"/>
      <c r="I13" s="2962"/>
    </row>
    <row r="14" spans="1:9" ht="15" thickTop="1">
      <c r="A14" s="2963" t="s">
        <v>1641</v>
      </c>
      <c r="B14" s="2963"/>
      <c r="C14" s="2963"/>
      <c r="D14" s="2963"/>
      <c r="E14" s="2963"/>
      <c r="F14" s="2963"/>
      <c r="G14" s="2963"/>
      <c r="H14" s="2963"/>
      <c r="I14" s="296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78" t="s">
        <v>1658</v>
      </c>
      <c r="B1" s="2978"/>
      <c r="C1" s="2978"/>
      <c r="D1" s="2978"/>
    </row>
    <row r="2" spans="1:4" ht="18">
      <c r="A2" s="2979" t="s">
        <v>1642</v>
      </c>
      <c r="B2" s="2979"/>
      <c r="C2" s="2979"/>
      <c r="D2" s="2979"/>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79" t="s">
        <v>1648</v>
      </c>
      <c r="B6" s="2979"/>
      <c r="C6" s="2979"/>
      <c r="D6" s="297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0" t="s">
        <v>1651</v>
      </c>
      <c r="B11" s="2972"/>
      <c r="C11" s="2972"/>
      <c r="D11" s="2972"/>
    </row>
    <row r="12" spans="1:4" ht="15.75">
      <c r="A12" s="29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7"/>
      <c r="C12" s="2977"/>
      <c r="D12" s="2977"/>
    </row>
    <row r="13" spans="1:4" ht="30" customHeight="1">
      <c r="A13" s="2972" t="str">
        <f>IF(项目基本情况!B8="抵押","3.抵押双方在办理抵押登记手续时，应使用本公司出具的正式《房地产评估报告》，特提醒报告使用者注意。","——")</f>
        <v>——</v>
      </c>
      <c r="B13" s="2977"/>
      <c r="C13" s="2977"/>
      <c r="D13" s="2977"/>
    </row>
    <row r="14" spans="1:4" ht="15.75" customHeight="1">
      <c r="A14" s="2972" t="str">
        <f>IF(项目基本情况!B8="抵押","4.本次评估估价师所知悉的法定优先受偿款情况说明如下：","——")</f>
        <v>——</v>
      </c>
      <c r="B14" s="2977"/>
      <c r="C14" s="2977"/>
      <c r="D14" s="2977"/>
    </row>
    <row r="15" spans="1:4" ht="42" customHeight="1">
      <c r="A15" s="2972" t="str">
        <f>IF(项目基本情况!B8="抵押","（1）"&amp;CONCATENATE(项目基本情况!L20,项目基本情况!L21,项目基本情况!L22),"——")</f>
        <v>——</v>
      </c>
      <c r="B15" s="2972"/>
      <c r="C15" s="2972"/>
      <c r="D15" s="2972"/>
    </row>
    <row r="16" spans="1:4" ht="30" customHeight="1">
      <c r="A16" s="2974" t="s">
        <v>1652</v>
      </c>
      <c r="B16" s="2974"/>
      <c r="C16" s="2974"/>
      <c r="D16" s="2974"/>
    </row>
    <row r="17" spans="1:4" ht="144" customHeight="1">
      <c r="A17" s="2974" t="s">
        <v>1653</v>
      </c>
      <c r="B17" s="2974"/>
      <c r="C17" s="2974"/>
      <c r="D17" s="2974"/>
    </row>
    <row r="18" spans="1:4" ht="15.75" customHeight="1">
      <c r="A18" s="2972" t="str">
        <f>IF(项目基本情况!B8="抵押",结果表!K120,"——")</f>
        <v>——</v>
      </c>
      <c r="B18" s="2972"/>
      <c r="C18" s="2972"/>
      <c r="D18" s="2972"/>
    </row>
    <row r="19" spans="1:4" ht="46.5" customHeight="1">
      <c r="A19" s="29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2"/>
      <c r="C19" s="2972"/>
      <c r="D19" s="2972"/>
    </row>
    <row r="20" spans="1:4" ht="57.75" customHeight="1">
      <c r="A20" s="29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2"/>
      <c r="C20" s="2972"/>
      <c r="D20" s="2972"/>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5"/>
      <c r="C21" s="2975"/>
      <c r="D21" s="2975"/>
    </row>
    <row r="22" spans="1:4" ht="18.75" customHeight="1">
      <c r="A22" s="2976" t="s">
        <v>1654</v>
      </c>
      <c r="B22" s="2976"/>
      <c r="C22" s="2976"/>
      <c r="D22" s="297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3">
        <v>42551</v>
      </c>
      <c r="D31" s="29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sqref="A1:XFD1048576"/>
      <selection pane="bottomLeft" sqref="A1:XFD1048576"/>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6" t="s">
        <v>1665</v>
      </c>
      <c r="B15" s="2981" t="s">
        <v>136</v>
      </c>
      <c r="C15" s="2982"/>
    </row>
    <row r="16" spans="1:7" ht="13.5">
      <c r="A16" s="2987"/>
      <c r="B16" s="2981" t="s">
        <v>69</v>
      </c>
      <c r="C16" s="2982"/>
    </row>
    <row r="17" spans="1:3" ht="13.5">
      <c r="A17" s="2987"/>
      <c r="B17" s="2984" t="s">
        <v>1666</v>
      </c>
      <c r="C17" s="2003" t="s">
        <v>1665</v>
      </c>
    </row>
    <row r="18" spans="1:3" ht="13.5">
      <c r="A18" s="2987"/>
      <c r="B18" s="2984"/>
      <c r="C18" s="2003" t="s">
        <v>1667</v>
      </c>
    </row>
    <row r="19" spans="1:3" ht="13.5">
      <c r="A19" s="2987"/>
      <c r="B19" s="2984"/>
      <c r="C19" s="2003" t="s">
        <v>1668</v>
      </c>
    </row>
    <row r="20" spans="1:3" ht="13.5">
      <c r="A20" s="2988"/>
      <c r="B20" s="2983" t="s">
        <v>1669</v>
      </c>
      <c r="C20" s="2982"/>
    </row>
    <row r="21" spans="1:3" ht="13.5">
      <c r="A21" s="2004" t="s">
        <v>1670</v>
      </c>
      <c r="B21" s="2005"/>
      <c r="C21" s="2006"/>
    </row>
    <row r="22" spans="1:3" ht="13.5">
      <c r="A22" s="2985" t="s">
        <v>1671</v>
      </c>
      <c r="B22" s="2983" t="s">
        <v>1672</v>
      </c>
      <c r="C22" s="2982"/>
    </row>
    <row r="23" spans="1:3" ht="13.5">
      <c r="A23" s="2985"/>
      <c r="B23" s="2983" t="s">
        <v>1673</v>
      </c>
      <c r="C23" s="2982"/>
    </row>
    <row r="24" spans="1:3" ht="13.5">
      <c r="A24" s="2985"/>
      <c r="B24" s="2983" t="s">
        <v>1674</v>
      </c>
      <c r="C24" s="2982"/>
    </row>
    <row r="25" spans="1:3" ht="13.5">
      <c r="A25" s="2985"/>
      <c r="B25" s="2984" t="s">
        <v>1675</v>
      </c>
      <c r="C25" s="2003" t="s">
        <v>1676</v>
      </c>
    </row>
    <row r="26" spans="1:3" ht="13.5">
      <c r="A26" s="2985"/>
      <c r="B26" s="2984"/>
      <c r="C26" s="2003" t="s">
        <v>1677</v>
      </c>
    </row>
    <row r="27" spans="1:3" ht="13.5">
      <c r="A27" s="2985"/>
      <c r="B27" s="2984"/>
      <c r="C27" s="2003" t="s">
        <v>1678</v>
      </c>
    </row>
    <row r="28" spans="1:3" ht="13.5">
      <c r="A28" s="2985"/>
      <c r="B28" s="2984"/>
      <c r="C28" s="2003" t="s">
        <v>1679</v>
      </c>
    </row>
    <row r="29" spans="1:3" ht="13.5">
      <c r="A29" s="2985"/>
      <c r="B29" s="2984"/>
      <c r="C29" s="2003" t="s">
        <v>1680</v>
      </c>
    </row>
    <row r="30" spans="1:3" ht="13.5">
      <c r="A30" s="2985"/>
      <c r="B30" s="2984"/>
      <c r="C30" s="2003" t="s">
        <v>1681</v>
      </c>
    </row>
    <row r="31" spans="1:3" ht="13.5">
      <c r="A31" s="2985"/>
      <c r="B31" s="2984"/>
      <c r="C31" s="2003" t="s">
        <v>1682</v>
      </c>
    </row>
    <row r="32" spans="1:3" ht="13.5">
      <c r="A32" s="2985"/>
      <c r="B32" s="2984"/>
      <c r="C32" s="2003" t="s">
        <v>1683</v>
      </c>
    </row>
    <row r="33" spans="1:3" ht="13.5">
      <c r="A33" s="2985"/>
      <c r="B33" s="298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sqref="A1:XFD1048576"/>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43475</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6"/>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3050</v>
      </c>
      <c r="B14" s="1025">
        <f ca="1">IF(C14&lt;B2,"已过期",1120040230)</f>
        <v>1120040230</v>
      </c>
      <c r="C14" s="2351">
        <v>43835</v>
      </c>
      <c r="D14" s="2354" t="s">
        <v>3050</v>
      </c>
      <c r="E14" s="1025">
        <f ca="1">IF(F14&lt;B2,"已过期",98030020)</f>
        <v>98030020</v>
      </c>
      <c r="F14" s="1033">
        <v>47118</v>
      </c>
    </row>
    <row r="15" spans="1:6" ht="24" customHeight="1">
      <c r="A15" s="1706" t="s">
        <v>3051</v>
      </c>
      <c r="B15" s="1025">
        <f ca="1">IF(C15&lt;B2,"已过期",1120070085)</f>
        <v>1120070085</v>
      </c>
      <c r="C15" s="2351">
        <v>43814</v>
      </c>
      <c r="D15" s="2355" t="s">
        <v>3051</v>
      </c>
      <c r="E15" s="1025">
        <f ca="1">IF(F15&lt;B2,"已过期",2004110128)</f>
        <v>2004110128</v>
      </c>
      <c r="F15" s="1026">
        <v>47118</v>
      </c>
    </row>
    <row r="16" spans="1:6" ht="24" customHeight="1">
      <c r="A16" s="1705" t="s">
        <v>3052</v>
      </c>
      <c r="B16" s="1025">
        <f ca="1">IF(C16&lt;B2,"已过期",1120140022)</f>
        <v>1120140022</v>
      </c>
      <c r="C16" s="2946">
        <v>44029</v>
      </c>
      <c r="D16" s="2354" t="s">
        <v>3052</v>
      </c>
      <c r="E16" s="1025">
        <f ca="1">IF(F16&lt;B2,"已过期",2008110059)</f>
        <v>2008110059</v>
      </c>
      <c r="F16" s="1033">
        <v>47177</v>
      </c>
    </row>
    <row r="17" spans="1:7" ht="24" customHeight="1">
      <c r="A17" s="1705"/>
      <c r="B17" s="1025"/>
      <c r="C17" s="2351"/>
      <c r="D17" s="2354" t="s">
        <v>3053</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6">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2989" t="s">
        <v>843</v>
      </c>
      <c r="B25" s="2989"/>
      <c r="C25" s="2989"/>
      <c r="D25" s="2989"/>
      <c r="E25" s="2989"/>
      <c r="F25" s="2989"/>
      <c r="G25" s="2989"/>
    </row>
    <row r="26" spans="1:7" s="1028" customFormat="1" ht="24" customHeight="1">
      <c r="A26" s="2990" t="s">
        <v>844</v>
      </c>
      <c r="B26" s="2990"/>
      <c r="C26" s="2991"/>
      <c r="D26" s="2992" t="s">
        <v>845</v>
      </c>
      <c r="E26" s="2990"/>
      <c r="F26" s="2990"/>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2019-01-10T07:17:19Z</dcterms:modified>
</cp:coreProperties>
</file>