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605" yWindow="180" windowWidth="12360" windowHeight="92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state="hidden"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85" l="1"/>
  <c r="F104" i="85"/>
  <c r="G104" i="85" s="1"/>
  <c r="D104" i="85"/>
  <c r="D138" i="85" l="1"/>
  <c r="F139" i="85"/>
  <c r="F138" i="85"/>
  <c r="E138" i="85"/>
  <c r="G138" i="85"/>
  <c r="G135" i="85"/>
  <c r="G136" i="85"/>
  <c r="F135" i="85"/>
  <c r="G134" i="85"/>
  <c r="E37" i="85"/>
  <c r="G24" i="88" l="1"/>
  <c r="K33" i="88"/>
  <c r="K32" i="88"/>
  <c r="G25" i="88" l="1"/>
  <c r="K34" i="88" s="1"/>
  <c r="E26" i="88"/>
  <c r="K44" i="88" s="1"/>
  <c r="K43" i="88"/>
  <c r="K41" i="88"/>
  <c r="H41" i="87"/>
  <c r="H48" i="87"/>
  <c r="H49" i="87" s="1"/>
  <c r="E27" i="88" l="1"/>
  <c r="K45" i="88" s="1"/>
  <c r="G26" i="88"/>
  <c r="K35" i="88" s="1"/>
  <c r="J39" i="88"/>
  <c r="G27" i="88" l="1"/>
  <c r="K36" i="88" s="1"/>
  <c r="I16" i="87"/>
  <c r="I15" i="87"/>
  <c r="I14" i="87"/>
  <c r="I8" i="93" l="1"/>
  <c r="J7" i="93" l="1"/>
  <c r="K7" i="93"/>
  <c r="K6" i="93"/>
  <c r="J6" i="93"/>
  <c r="G7" i="93"/>
  <c r="H7" i="93"/>
  <c r="I7" i="93"/>
  <c r="F7" i="93"/>
  <c r="F8" i="93"/>
  <c r="F4" i="93"/>
  <c r="G3" i="93"/>
  <c r="H3" i="93"/>
  <c r="I3" i="93"/>
  <c r="J3" i="93"/>
  <c r="K3" i="93"/>
  <c r="F3" i="93"/>
  <c r="E67" i="85" l="1"/>
  <c r="D67" i="85"/>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F28" i="88"/>
  <c r="L41" i="88" l="1"/>
  <c r="J46" i="88"/>
  <c r="J37" i="88"/>
  <c r="L32" i="88"/>
  <c r="L37" i="88" s="1"/>
  <c r="K23" i="88" s="1"/>
  <c r="F30" i="88"/>
  <c r="G30" i="88" s="1"/>
  <c r="H30" i="88" s="1"/>
  <c r="W8" i="1"/>
  <c r="W7" i="1"/>
  <c r="H27" i="88" l="1"/>
  <c r="F134" i="85"/>
  <c r="E135" i="85"/>
  <c r="E136" i="85"/>
  <c r="F136" i="85"/>
  <c r="D136" i="85"/>
  <c r="X3" i="92"/>
  <c r="E139" i="85" l="1"/>
  <c r="AK7" i="1"/>
  <c r="AK8" i="1"/>
  <c r="H16" i="88"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C76" i="91"/>
  <c r="C76" i="90"/>
  <c r="K42" i="88" l="1"/>
  <c r="L42" i="88" s="1"/>
  <c r="L46" i="88" s="1"/>
  <c r="K24" i="88" s="1"/>
  <c r="Q71" i="91"/>
  <c r="D24" i="91"/>
  <c r="P61" i="91"/>
  <c r="D22" i="91"/>
  <c r="Q71" i="90"/>
  <c r="D24" i="90"/>
  <c r="P61" i="90"/>
  <c r="D22" i="90"/>
  <c r="F8" i="91"/>
  <c r="M6" i="91"/>
  <c r="M6" i="90"/>
  <c r="M22" i="91"/>
  <c r="F16" i="91"/>
  <c r="F42" i="91"/>
  <c r="L47" i="90"/>
  <c r="M27" i="90"/>
  <c r="F37" i="90"/>
  <c r="L47" i="91"/>
  <c r="M8" i="90"/>
  <c r="M24" i="91"/>
  <c r="M9" i="91"/>
  <c r="M24" i="90"/>
  <c r="F6" i="90"/>
  <c r="M26" i="90"/>
  <c r="F37" i="91"/>
  <c r="F36" i="91"/>
  <c r="F26" i="90"/>
  <c r="F38" i="91"/>
  <c r="J15" i="90"/>
  <c r="M8" i="91"/>
  <c r="M23" i="91"/>
  <c r="J15" i="91"/>
  <c r="M9" i="90"/>
  <c r="M28" i="91"/>
  <c r="F42" i="90"/>
  <c r="F9" i="91"/>
  <c r="M28" i="90"/>
  <c r="F26" i="91"/>
  <c r="M26" i="91"/>
  <c r="F40" i="90"/>
  <c r="M22" i="90"/>
  <c r="M23" i="90"/>
  <c r="F40" i="91"/>
  <c r="F6" i="91"/>
  <c r="F9" i="90"/>
  <c r="F8" i="90"/>
  <c r="F36" i="90"/>
  <c r="F7" i="91"/>
  <c r="M27" i="91"/>
  <c r="F38" i="90"/>
  <c r="F16" i="90"/>
  <c r="F68" i="91" l="1"/>
  <c r="F51" i="91"/>
  <c r="C6" i="91"/>
  <c r="M7" i="91"/>
  <c r="J6" i="91" s="1"/>
  <c r="F50" i="91"/>
  <c r="F66" i="91"/>
  <c r="F64" i="91"/>
  <c r="C27" i="91"/>
  <c r="F65" i="91"/>
  <c r="F68" i="90"/>
  <c r="F51" i="90"/>
  <c r="F66" i="90"/>
  <c r="C27" i="90"/>
  <c r="F64" i="90"/>
  <c r="F65" i="90"/>
  <c r="C49" i="91" l="1"/>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M12" i="89" l="1"/>
  <c r="N9" i="89"/>
  <c r="M1" i="89"/>
  <c r="M2" i="89"/>
  <c r="C6" i="89" s="1"/>
  <c r="D5" i="89" s="1"/>
  <c r="M7" i="89"/>
  <c r="C21" i="89"/>
  <c r="M3" i="89"/>
  <c r="S5" i="89"/>
  <c r="D21" i="89"/>
  <c r="J21" i="89"/>
  <c r="S4" i="89"/>
  <c r="S6" i="89"/>
  <c r="X7" i="89"/>
  <c r="C5"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H56" i="89"/>
  <c r="H53" i="89"/>
  <c r="H50" i="89"/>
  <c r="H58" i="89"/>
  <c r="H52" i="89"/>
  <c r="H57" i="89"/>
  <c r="H55" i="89"/>
  <c r="H54" i="89"/>
  <c r="H51" i="89"/>
  <c r="G21" i="89"/>
  <c r="H18" i="88" l="1"/>
  <c r="N7" i="1" s="1"/>
  <c r="Y7" i="1" l="1"/>
  <c r="N8" i="1"/>
  <c r="Y8" i="1" s="1"/>
  <c r="F13" i="90"/>
  <c r="F13" i="9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C38" i="87" l="1"/>
  <c r="I12" i="87"/>
  <c r="I18" i="87" s="1"/>
  <c r="U4" i="43"/>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E5" i="3" s="1"/>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52" i="37" s="1"/>
  <c r="D52" i="37"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AO13" i="1"/>
  <c r="M8" i="15"/>
  <c r="F37" i="15"/>
  <c r="F3" i="73"/>
  <c r="F40" i="15"/>
  <c r="E10" i="76"/>
  <c r="C76" i="15"/>
  <c r="E12" i="76"/>
  <c r="F7" i="73"/>
  <c r="B10" i="76"/>
  <c r="F16" i="15"/>
  <c r="J15" i="15"/>
  <c r="F9" i="15"/>
  <c r="M24" i="15"/>
  <c r="F38" i="15"/>
  <c r="F5" i="73"/>
  <c r="L48" i="90"/>
  <c r="F6" i="73"/>
  <c r="F13" i="15"/>
  <c r="E2" i="69"/>
  <c r="E11" i="76"/>
  <c r="M9" i="15"/>
  <c r="E13" i="76"/>
  <c r="F8" i="15"/>
  <c r="M22" i="15"/>
  <c r="E2" i="68"/>
  <c r="F42" i="15"/>
  <c r="B13" i="76"/>
  <c r="M28" i="15"/>
  <c r="F6" i="15"/>
  <c r="B12" i="76"/>
  <c r="L47" i="15"/>
  <c r="F36" i="15"/>
  <c r="B8" i="76"/>
  <c r="B9" i="76"/>
  <c r="B11" i="76"/>
  <c r="F20" i="31"/>
  <c r="E9" i="76"/>
  <c r="M6" i="15"/>
  <c r="F4" i="73"/>
  <c r="E8" i="76"/>
  <c r="M23" i="15"/>
  <c r="M26" i="15"/>
  <c r="F26" i="15"/>
  <c r="C7" i="21" l="1"/>
  <c r="G23" i="43"/>
  <c r="C7" i="33"/>
  <c r="C7" i="36"/>
  <c r="C46" i="36" s="1"/>
  <c r="D46" i="36" s="1"/>
  <c r="E46" i="36" s="1"/>
  <c r="F46" i="36" s="1"/>
  <c r="G46" i="36" s="1"/>
  <c r="H46" i="36" s="1"/>
  <c r="I46" i="36" s="1"/>
  <c r="M47" i="9"/>
  <c r="C7" i="35"/>
  <c r="C48" i="35" s="1"/>
  <c r="D48" i="35" s="1"/>
  <c r="C42" i="1"/>
  <c r="C28" i="90" s="1"/>
  <c r="G27" i="6"/>
  <c r="BA33" i="3"/>
  <c r="BD5" i="3"/>
  <c r="BA28" i="3"/>
  <c r="AZ17" i="3"/>
  <c r="F39" i="6"/>
  <c r="D37" i="43"/>
  <c r="D1" i="43" s="1"/>
  <c r="D37" i="89"/>
  <c r="H37" i="89" s="1"/>
  <c r="D42" i="43"/>
  <c r="H42" i="43" s="1"/>
  <c r="F20" i="6"/>
  <c r="D33" i="89" s="1"/>
  <c r="E21" i="6"/>
  <c r="K8" i="1" s="1"/>
  <c r="C21" i="68"/>
  <c r="L58" i="90"/>
  <c r="C28" i="91"/>
  <c r="C32" i="91"/>
  <c r="C61" i="91"/>
  <c r="J18" i="91"/>
  <c r="C33" i="91"/>
  <c r="F8" i="1"/>
  <c r="J51" i="90"/>
  <c r="L57" i="90" s="1"/>
  <c r="J51" i="91"/>
  <c r="G23" i="89"/>
  <c r="I24" i="89"/>
  <c r="C24" i="89" s="1"/>
  <c r="G44" i="89"/>
  <c r="C44" i="89" s="1"/>
  <c r="M59" i="91"/>
  <c r="D53" i="43"/>
  <c r="D56" i="43"/>
  <c r="D51" i="43"/>
  <c r="G1" i="69"/>
  <c r="F3" i="35"/>
  <c r="G1" i="67"/>
  <c r="G1" i="68"/>
  <c r="K1" i="12"/>
  <c r="BL39" i="3"/>
  <c r="BA23" i="3"/>
  <c r="AZ23" i="3" s="1"/>
  <c r="BL25" i="3"/>
  <c r="BL30" i="3"/>
  <c r="BA32" i="3"/>
  <c r="BA26" i="3"/>
  <c r="BL33" i="3"/>
  <c r="BL32" i="3"/>
  <c r="BA25" i="3"/>
  <c r="AZ25" i="3" s="1"/>
  <c r="BA34" i="3"/>
  <c r="AZ34" i="3" s="1"/>
  <c r="BA24" i="3"/>
  <c r="BA113" i="3"/>
  <c r="AZ113" i="3" s="1"/>
  <c r="BA22" i="3"/>
  <c r="AZ22" i="3" s="1"/>
  <c r="AZ26" i="3"/>
  <c r="BA31" i="3"/>
  <c r="AZ31" i="3" s="1"/>
  <c r="AZ33" i="3"/>
  <c r="BA66" i="3"/>
  <c r="BA83" i="3"/>
  <c r="BA91" i="3"/>
  <c r="BA92" i="3"/>
  <c r="BA98" i="3"/>
  <c r="BA100" i="3"/>
  <c r="BA101" i="3"/>
  <c r="BA104" i="3"/>
  <c r="BA105" i="3"/>
  <c r="BA27" i="3"/>
  <c r="BA29" i="3"/>
  <c r="BA30" i="3"/>
  <c r="AZ30" i="3" s="1"/>
  <c r="AZ32" i="3"/>
  <c r="BA35" i="3"/>
  <c r="AZ35" i="3" s="1"/>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BL28" i="3"/>
  <c r="BL34" i="3"/>
  <c r="BA36" i="3"/>
  <c r="AZ36" i="3" s="1"/>
  <c r="BA37" i="3"/>
  <c r="AZ37" i="3" s="1"/>
  <c r="BA38" i="3"/>
  <c r="AZ38" i="3" s="1"/>
  <c r="BL38" i="3"/>
  <c r="BA40" i="3"/>
  <c r="AZ40" i="3" s="1"/>
  <c r="BL16" i="3"/>
  <c r="AZ16" i="3" s="1"/>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8" i="81"/>
  <c r="M29" i="67"/>
  <c r="C16" i="15"/>
  <c r="C76" i="67"/>
  <c r="D7" i="73"/>
  <c r="F40" i="67"/>
  <c r="J15" i="81"/>
  <c r="C76" i="81"/>
  <c r="F36" i="67"/>
  <c r="L47" i="67"/>
  <c r="F38" i="67"/>
  <c r="M28" i="81"/>
  <c r="M6" i="67"/>
  <c r="M26" i="67"/>
  <c r="D3" i="73"/>
  <c r="F7" i="15"/>
  <c r="M8" i="67"/>
  <c r="F26" i="81"/>
  <c r="M26" i="81"/>
  <c r="F38" i="81"/>
  <c r="F6" i="67"/>
  <c r="F36" i="81"/>
  <c r="F7" i="81"/>
  <c r="F43" i="91"/>
  <c r="F42" i="67"/>
  <c r="D5" i="73"/>
  <c r="M9" i="81"/>
  <c r="M22" i="81"/>
  <c r="M24" i="81"/>
  <c r="F6" i="81"/>
  <c r="F7" i="67"/>
  <c r="F8" i="67"/>
  <c r="F43" i="81"/>
  <c r="L48" i="81"/>
  <c r="M9" i="67"/>
  <c r="L48" i="91"/>
  <c r="F37" i="67"/>
  <c r="L48" i="15"/>
  <c r="L48" i="67"/>
  <c r="F16" i="67"/>
  <c r="F37" i="81"/>
  <c r="J15" i="67"/>
  <c r="M8" i="81"/>
  <c r="M22" i="67"/>
  <c r="M23" i="81"/>
  <c r="F9" i="81"/>
  <c r="M29" i="81"/>
  <c r="F13" i="81"/>
  <c r="D4" i="73"/>
  <c r="M28" i="67"/>
  <c r="M29" i="91"/>
  <c r="F43" i="67"/>
  <c r="M29" i="15"/>
  <c r="F9" i="67"/>
  <c r="M24" i="67"/>
  <c r="F42" i="81"/>
  <c r="M27" i="81"/>
  <c r="M6" i="81"/>
  <c r="F26" i="67"/>
  <c r="F43" i="15"/>
  <c r="D6" i="73"/>
  <c r="L47" i="81"/>
  <c r="F13" i="67"/>
  <c r="F40" i="81"/>
  <c r="F16" i="81"/>
  <c r="M23" i="67"/>
  <c r="J19" i="91" l="1"/>
  <c r="AZ28" i="3"/>
  <c r="E20" i="6"/>
  <c r="K7" i="1" s="1"/>
  <c r="AZ24" i="3"/>
  <c r="F71" i="91"/>
  <c r="M8" i="1"/>
  <c r="AH19" i="1"/>
  <c r="D28" i="88"/>
  <c r="K25" i="88" s="1"/>
  <c r="L48" i="88" s="1"/>
  <c r="H37" i="43"/>
  <c r="AZ27" i="3"/>
  <c r="D1" i="89"/>
  <c r="M59" i="15"/>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M11" i="91"/>
  <c r="J10" i="91" s="1"/>
  <c r="J5"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M29" i="90"/>
  <c r="C16" i="91"/>
  <c r="F41" i="81"/>
  <c r="C16" i="90"/>
  <c r="C16" i="67"/>
  <c r="G1" i="73"/>
  <c r="C16" i="81"/>
  <c r="F43" i="90"/>
  <c r="F7" i="90"/>
  <c r="M7" i="90" l="1"/>
  <c r="J6" i="90" s="1"/>
  <c r="J18" i="90" s="1"/>
  <c r="C6" i="90"/>
  <c r="C32" i="90" s="1"/>
  <c r="F50" i="90"/>
  <c r="C49" i="90" s="1"/>
  <c r="C61" i="90" s="1"/>
  <c r="F71" i="90"/>
  <c r="D30" i="88"/>
  <c r="E30" i="88" s="1"/>
  <c r="K26" i="88"/>
  <c r="F31" i="6"/>
  <c r="K38" i="6"/>
  <c r="C32" i="15"/>
  <c r="Q74" i="67"/>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J24" i="91"/>
  <c r="C29" i="69"/>
  <c r="D27" i="69" s="1"/>
  <c r="Q73" i="67"/>
  <c r="C53" i="90"/>
  <c r="Q52" i="67"/>
  <c r="C49" i="67"/>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H31" i="87" s="1"/>
  <c r="K51" i="87" s="1"/>
  <c r="J51" i="87" s="1"/>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 i="67" s="1"/>
  <c r="C38" i="67" s="1"/>
  <c r="C53" i="15"/>
  <c r="C48" i="15" s="1"/>
  <c r="C66" i="15" s="1"/>
  <c r="C10" i="15"/>
  <c r="C5" i="15" s="1"/>
  <c r="C38" i="15" s="1"/>
  <c r="F41" i="67"/>
  <c r="M27" i="15"/>
  <c r="M27" i="67"/>
  <c r="AE7" i="1"/>
  <c r="AE8" i="1"/>
  <c r="AE6" i="1"/>
  <c r="V5" i="43" l="1"/>
  <c r="H29" i="87"/>
  <c r="V4" i="43"/>
  <c r="H28" i="87"/>
  <c r="V6" i="43"/>
  <c r="H30" i="87"/>
  <c r="V2" i="43"/>
  <c r="H26" i="87"/>
  <c r="V3" i="43"/>
  <c r="H27" i="87"/>
  <c r="C10" i="90"/>
  <c r="C5" i="90" s="1"/>
  <c r="C38" i="90" s="1"/>
  <c r="C33" i="90"/>
  <c r="C48" i="90"/>
  <c r="C60" i="90" s="1"/>
  <c r="J5" i="90"/>
  <c r="C15" i="93"/>
  <c r="D15" i="93" s="1"/>
  <c r="J19" i="90"/>
  <c r="D3" i="37"/>
  <c r="M18" i="9"/>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K20" i="6"/>
  <c r="E31" i="6"/>
  <c r="H38" i="6" s="1"/>
  <c r="K25" i="6"/>
  <c r="M25" i="6" s="1"/>
  <c r="I25" i="6" s="1"/>
  <c r="S25" i="6" s="1"/>
  <c r="K21" i="6"/>
  <c r="S8" i="1" s="1"/>
  <c r="BA6" i="3"/>
  <c r="E6" i="3"/>
  <c r="F34" i="85"/>
  <c r="H34" i="85"/>
  <c r="F46" i="85"/>
  <c r="J46" i="85"/>
  <c r="H46" i="85"/>
  <c r="W7" i="85"/>
  <c r="AC7" i="85"/>
  <c r="AA7" i="85"/>
  <c r="S7" i="85"/>
  <c r="U7" i="85"/>
  <c r="AB7" i="85"/>
  <c r="K25" i="9"/>
  <c r="L25" i="9"/>
  <c r="B118" i="9"/>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0" i="11"/>
  <c r="C10" i="11" s="1"/>
  <c r="D20" i="12"/>
  <c r="C20" i="12" s="1"/>
  <c r="D1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15"/>
  <c r="C14" i="91"/>
  <c r="C17" i="91"/>
  <c r="F41" i="91"/>
  <c r="C14" i="67"/>
  <c r="C17" i="81"/>
  <c r="C17" i="90"/>
  <c r="F41" i="15"/>
  <c r="C17" i="67"/>
  <c r="F41" i="90"/>
  <c r="K36" i="87" l="1"/>
  <c r="J36" i="87" s="1"/>
  <c r="K43" i="87"/>
  <c r="J43" i="87" s="1"/>
  <c r="K38" i="87"/>
  <c r="J38" i="87" s="1"/>
  <c r="K45" i="87"/>
  <c r="J45" i="87" s="1"/>
  <c r="K37" i="87"/>
  <c r="J37" i="87" s="1"/>
  <c r="K44" i="87"/>
  <c r="J44" i="87" s="1"/>
  <c r="K47" i="87"/>
  <c r="J47" i="87" s="1"/>
  <c r="K40" i="87"/>
  <c r="J40" i="87" s="1"/>
  <c r="K46" i="87"/>
  <c r="J46" i="87" s="1"/>
  <c r="K39" i="87"/>
  <c r="J39" i="87" s="1"/>
  <c r="I42" i="89"/>
  <c r="H32" i="87"/>
  <c r="K52" i="87"/>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4" i="90"/>
  <c r="M21" i="81"/>
  <c r="F35" i="81"/>
  <c r="K53" i="87" l="1"/>
  <c r="J53" i="87" s="1"/>
  <c r="W53" i="87" s="1"/>
  <c r="J52" i="87"/>
  <c r="W52" i="87" s="1"/>
  <c r="A10" i="5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M21" i="91"/>
  <c r="F35" i="91"/>
  <c r="E10" i="88" l="1"/>
  <c r="C23" i="91"/>
  <c r="C29" i="91" s="1"/>
  <c r="Q49" i="91" s="1"/>
  <c r="I5" i="6"/>
  <c r="I6" i="6"/>
  <c r="I7" i="6" s="1"/>
  <c r="C19" i="90"/>
  <c r="C20" i="90" s="1"/>
  <c r="C26" i="90" s="1"/>
  <c r="D10" i="88"/>
  <c r="G10" i="88"/>
  <c r="G3" i="43"/>
  <c r="E26" i="43" s="1"/>
  <c r="G3" i="89"/>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J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J59" i="91" l="1"/>
  <c r="J60" i="91" s="1"/>
  <c r="Q48" i="91" s="1"/>
  <c r="C57" i="91"/>
  <c r="C64" i="91" s="1"/>
  <c r="J14" i="91"/>
  <c r="J13" i="91" s="1"/>
  <c r="J23" i="91" s="1"/>
  <c r="C36" i="91"/>
  <c r="C13" i="91"/>
  <c r="I36" i="91" s="1"/>
  <c r="G26" i="43"/>
  <c r="H26" i="43"/>
  <c r="D26" i="43" s="1"/>
  <c r="C25" i="43" s="1"/>
  <c r="C33" i="43" s="1"/>
  <c r="N370" i="46"/>
  <c r="C23" i="90"/>
  <c r="C29" i="90" s="1"/>
  <c r="C36" i="90" s="1"/>
  <c r="F26" i="89"/>
  <c r="J26" i="89"/>
  <c r="Z7" i="89"/>
  <c r="H26" i="89"/>
  <c r="B116" i="89"/>
  <c r="G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F35" i="90"/>
  <c r="F35" i="67"/>
  <c r="M21" i="15"/>
  <c r="M21" i="90"/>
  <c r="F35" i="15"/>
  <c r="J22" i="91" l="1"/>
  <c r="J16" i="91" s="1"/>
  <c r="J25" i="91" s="1"/>
  <c r="C56" i="91"/>
  <c r="C65" i="91" s="1"/>
  <c r="C58" i="91" s="1"/>
  <c r="C67" i="91" s="1"/>
  <c r="C68" i="91" s="1"/>
  <c r="C71" i="91" s="1"/>
  <c r="Q70" i="91"/>
  <c r="C37" i="91"/>
  <c r="C30" i="91" s="1"/>
  <c r="C39" i="91" s="1"/>
  <c r="C75" i="91"/>
  <c r="M52" i="87"/>
  <c r="C57" i="90"/>
  <c r="C64" i="90" s="1"/>
  <c r="J59" i="90"/>
  <c r="J60" i="90" s="1"/>
  <c r="Q48" i="90" s="1"/>
  <c r="C13" i="90"/>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91"/>
  <c r="E6" i="76"/>
  <c r="Q69" i="91" l="1"/>
  <c r="Q68" i="91" s="1"/>
  <c r="I39" i="91"/>
  <c r="C40" i="91"/>
  <c r="Q47" i="91" s="1"/>
  <c r="Q53" i="91" s="1"/>
  <c r="C80" i="91"/>
  <c r="C79" i="91" s="1"/>
  <c r="Q70" i="15"/>
  <c r="I35" i="15"/>
  <c r="C37" i="90"/>
  <c r="C30" i="90" s="1"/>
  <c r="C39" i="90" s="1"/>
  <c r="I41" i="90"/>
  <c r="C75" i="90"/>
  <c r="Q70" i="90"/>
  <c r="C56" i="90"/>
  <c r="C65" i="90" s="1"/>
  <c r="C58" i="90" s="1"/>
  <c r="C67" i="90" s="1"/>
  <c r="C68" i="90" s="1"/>
  <c r="C71" i="90" s="1"/>
  <c r="J22" i="90"/>
  <c r="J16" i="90" s="1"/>
  <c r="J25" i="90" s="1"/>
  <c r="L46" i="90"/>
  <c r="C118" i="89"/>
  <c r="D116" i="89" s="1"/>
  <c r="C33" i="89"/>
  <c r="H24" i="87" s="1"/>
  <c r="K48" i="87" s="1"/>
  <c r="J48" i="87" s="1"/>
  <c r="J55" i="87" s="1"/>
  <c r="J50" i="87" s="1"/>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B6" i="76"/>
  <c r="D2" i="21"/>
  <c r="B2" i="91" l="1"/>
  <c r="B3" i="91" s="1"/>
  <c r="C43" i="91"/>
  <c r="Q69" i="90"/>
  <c r="I39" i="90"/>
  <c r="C83" i="91"/>
  <c r="C82" i="91" s="1"/>
  <c r="Q65" i="91"/>
  <c r="Q75" i="91" s="1"/>
  <c r="C46" i="91"/>
  <c r="Q56" i="91"/>
  <c r="Q62" i="91" s="1"/>
  <c r="M36" i="87"/>
  <c r="M43" i="87" s="1"/>
  <c r="M53" i="87"/>
  <c r="L53" i="87" s="1"/>
  <c r="L52" i="87"/>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E7" i="76"/>
  <c r="L51" i="90"/>
  <c r="L51" i="67"/>
  <c r="Q69" i="15" l="1"/>
  <c r="Q68" i="15" s="1"/>
  <c r="I39" i="15"/>
  <c r="L43" i="87"/>
  <c r="X43" i="87" s="1"/>
  <c r="N52" i="87"/>
  <c r="X52" i="87"/>
  <c r="Y52" i="87" s="1"/>
  <c r="J15" i="87" s="1"/>
  <c r="N53" i="87"/>
  <c r="X53" i="87"/>
  <c r="Y53" i="87" s="1"/>
  <c r="Q65" i="90"/>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B7" i="76"/>
  <c r="D2" i="35"/>
  <c r="D2" i="36"/>
  <c r="M44" i="87" l="1"/>
  <c r="M45" i="87" s="1"/>
  <c r="N43" i="87"/>
  <c r="M51" i="87"/>
  <c r="L51" i="87" s="1"/>
  <c r="N51" i="87" s="1"/>
  <c r="B3" i="90"/>
  <c r="Y48" i="87"/>
  <c r="Y56" i="87" s="1"/>
  <c r="M37" i="87"/>
  <c r="L36" i="87"/>
  <c r="X36" i="87" s="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9" i="1"/>
  <c r="AO7" i="1"/>
  <c r="AO10" i="1"/>
  <c r="AO8" i="1"/>
  <c r="AO12" i="1"/>
  <c r="AO11" i="1"/>
  <c r="L44" i="87" l="1"/>
  <c r="X44" i="87" s="1"/>
  <c r="X51" i="87"/>
  <c r="N36" i="87"/>
  <c r="M46" i="87"/>
  <c r="L45" i="87"/>
  <c r="M38" i="87"/>
  <c r="L37" i="87"/>
  <c r="B3" i="76"/>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N44" i="87" l="1"/>
  <c r="N45" i="87"/>
  <c r="X45" i="87"/>
  <c r="N37" i="87"/>
  <c r="X37" i="87"/>
  <c r="M47" i="87"/>
  <c r="L46" i="87"/>
  <c r="M39" i="87"/>
  <c r="L38"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44" i="88" l="1"/>
  <c r="U46" i="87" s="1"/>
  <c r="N42" i="88"/>
  <c r="U44" i="87" s="1"/>
  <c r="N45" i="88"/>
  <c r="U47" i="87" s="1"/>
  <c r="N43" i="88"/>
  <c r="U45" i="87" s="1"/>
  <c r="N41" i="88"/>
  <c r="U43" i="87" s="1"/>
  <c r="N32" i="88"/>
  <c r="U36" i="87" s="1"/>
  <c r="N35" i="88"/>
  <c r="U39" i="87" s="1"/>
  <c r="N33" i="88"/>
  <c r="U37" i="87" s="1"/>
  <c r="N36" i="88"/>
  <c r="U40" i="87" s="1"/>
  <c r="N34" i="88"/>
  <c r="U38" i="87" s="1"/>
  <c r="N46" i="87"/>
  <c r="X46" i="87"/>
  <c r="N38" i="87"/>
  <c r="X38" i="87"/>
  <c r="M48" i="87"/>
  <c r="L48" i="87" s="1"/>
  <c r="L47" i="87"/>
  <c r="M40" i="87"/>
  <c r="L40" i="87" s="1"/>
  <c r="L39" i="87"/>
  <c r="X39" i="87" s="1"/>
  <c r="M23" i="88"/>
  <c r="L12" i="87" s="1"/>
  <c r="M24" i="88"/>
  <c r="L13" i="87" s="1"/>
  <c r="M25" i="88"/>
  <c r="L14" i="87" s="1"/>
  <c r="B2" i="70"/>
  <c r="B3" i="70" s="1"/>
  <c r="N16" i="87"/>
  <c r="O16" i="87" s="1"/>
  <c r="F65" i="39"/>
  <c r="B2" i="39" s="1"/>
  <c r="C5" i="71"/>
  <c r="D5" i="71" s="1"/>
  <c r="M24" i="43" s="1"/>
  <c r="D6" i="71"/>
  <c r="C42" i="40"/>
  <c r="C43" i="40"/>
  <c r="E47" i="40"/>
  <c r="F47" i="40" s="1"/>
  <c r="E46" i="40"/>
  <c r="F46" i="40" s="1"/>
  <c r="I47" i="40"/>
  <c r="J47" i="40" s="1"/>
  <c r="N46" i="88" l="1"/>
  <c r="N37" i="88"/>
  <c r="O14" i="87"/>
  <c r="O13" i="87"/>
  <c r="O12" i="87"/>
  <c r="N48" i="87"/>
  <c r="X48" i="87"/>
  <c r="X56" i="87" s="1"/>
  <c r="N47" i="87"/>
  <c r="X47" i="87"/>
  <c r="N40" i="87"/>
  <c r="X40" i="87"/>
  <c r="N39" i="87"/>
  <c r="L55"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W48" i="87" l="1"/>
  <c r="W56" i="87" s="1"/>
  <c r="X41" i="87"/>
  <c r="N48" i="88"/>
  <c r="U51" i="87" s="1"/>
  <c r="O18" i="87"/>
  <c r="N55" i="87"/>
  <c r="X49" i="87"/>
  <c r="C7" i="68"/>
  <c r="C5" i="68" s="1"/>
  <c r="X54" i="87" l="1"/>
  <c r="X57" i="87" s="1"/>
  <c r="X58" i="87" s="1"/>
  <c r="U56" i="87"/>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D34" i="9"/>
  <c r="D20" i="9"/>
  <c r="D35" i="9"/>
  <c r="C20" i="9"/>
  <c r="J29" i="9" l="1"/>
  <c r="C103" i="9"/>
  <c r="G21" i="9"/>
  <c r="P36" i="9"/>
  <c r="G20" i="9"/>
  <c r="C32" i="9" s="1"/>
  <c r="D103" i="9"/>
  <c r="P34" i="9" l="1"/>
  <c r="C35" i="9"/>
  <c r="H118" i="9"/>
  <c r="J10" i="87" s="1"/>
  <c r="H4" i="52" l="1"/>
  <c r="C104" i="9"/>
  <c r="H119" i="9"/>
  <c r="H5" i="52" s="1"/>
  <c r="I118" i="9"/>
  <c r="H101" i="9"/>
  <c r="C34" i="9"/>
  <c r="D118" i="9" s="1"/>
  <c r="F118" i="9"/>
  <c r="G118" i="9" l="1"/>
  <c r="G4" i="52" s="1"/>
  <c r="B52" i="72" s="1"/>
  <c r="F119" i="9"/>
  <c r="F5" i="52" s="1"/>
  <c r="B53" i="72" s="1"/>
  <c r="F4" i="52"/>
  <c r="B51" i="72" s="1"/>
  <c r="D45" i="9"/>
  <c r="D14" i="74"/>
  <c r="O34" i="87" s="1"/>
  <c r="M48" i="9"/>
  <c r="D5" i="53"/>
  <c r="H107" i="9"/>
  <c r="D4" i="52"/>
  <c r="B47" i="72" s="1"/>
  <c r="D119" i="9"/>
  <c r="D5" i="52" s="1"/>
  <c r="B49" i="72" s="1"/>
  <c r="C105" i="9"/>
  <c r="H102" i="9"/>
  <c r="D7" i="53" s="1"/>
  <c r="B21" i="72" s="1"/>
  <c r="I4" i="52"/>
  <c r="O44" i="87" l="1"/>
  <c r="P44" i="87" s="1"/>
  <c r="Y54" i="87"/>
  <c r="Y57" i="87" s="1"/>
  <c r="Y58" i="87" s="1"/>
  <c r="Z52" i="87"/>
  <c r="Z53"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W54" i="87" l="1"/>
  <c r="W57" i="87" s="1"/>
  <c r="W51" i="87" s="1"/>
  <c r="Y51" i="87" s="1"/>
  <c r="J14" i="87" s="1"/>
  <c r="R47" i="87"/>
  <c r="S47" i="87" s="1"/>
  <c r="O52" i="87"/>
  <c r="P52" i="87" s="1"/>
  <c r="O40" i="87"/>
  <c r="P40" i="87" s="1"/>
  <c r="O45" i="87"/>
  <c r="P45" i="87" s="1"/>
  <c r="R39" i="87"/>
  <c r="S39" i="87" s="1"/>
  <c r="R51" i="87"/>
  <c r="S51" i="87" s="1"/>
  <c r="O39" i="87"/>
  <c r="P39" i="87" s="1"/>
  <c r="O48" i="87"/>
  <c r="P48" i="87" s="1"/>
  <c r="O51" i="87"/>
  <c r="P51" i="87" s="1"/>
  <c r="R40" i="87"/>
  <c r="S40" i="87" s="1"/>
  <c r="R43" i="87"/>
  <c r="S43" i="87" s="1"/>
  <c r="R46" i="87"/>
  <c r="S46" i="87" s="1"/>
  <c r="R52" i="87"/>
  <c r="S52" i="87" s="1"/>
  <c r="O38" i="87"/>
  <c r="P38" i="87" s="1"/>
  <c r="O37" i="87"/>
  <c r="P37" i="87" s="1"/>
  <c r="O36" i="87"/>
  <c r="P36" i="87" s="1"/>
  <c r="O46" i="87"/>
  <c r="P46" i="87" s="1"/>
  <c r="O43" i="87"/>
  <c r="P43" i="87" s="1"/>
  <c r="O47" i="87"/>
  <c r="P47" i="87" s="1"/>
  <c r="O53" i="87"/>
  <c r="P53" i="87" s="1"/>
  <c r="R38" i="87"/>
  <c r="S38" i="87" s="1"/>
  <c r="R37" i="87"/>
  <c r="S37" i="87" s="1"/>
  <c r="R36" i="87"/>
  <c r="S36" i="87" s="1"/>
  <c r="R45" i="87"/>
  <c r="S45" i="87" s="1"/>
  <c r="R44" i="87"/>
  <c r="S44" i="87" s="1"/>
  <c r="R48" i="87"/>
  <c r="S48" i="87" s="1"/>
  <c r="R53" i="87"/>
  <c r="S53" i="87" s="1"/>
  <c r="Z48"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W47" i="87" l="1"/>
  <c r="Y47" i="87" s="1"/>
  <c r="W45" i="87"/>
  <c r="W43" i="87"/>
  <c r="W46" i="87"/>
  <c r="W44" i="87"/>
  <c r="W39" i="87"/>
  <c r="W37" i="87"/>
  <c r="W40" i="87"/>
  <c r="W38" i="87"/>
  <c r="W58" i="87"/>
  <c r="W36" i="87"/>
  <c r="R55" i="87"/>
  <c r="O55" i="87"/>
  <c r="Z51" i="87"/>
  <c r="C80" i="9"/>
  <c r="E80" i="9" s="1"/>
  <c r="E81" i="9" s="1"/>
  <c r="M69" i="9"/>
  <c r="N69" i="9" s="1"/>
  <c r="C96" i="9"/>
  <c r="E96" i="9" s="1"/>
  <c r="E97" i="9" s="1"/>
  <c r="Y60" i="87" l="1"/>
  <c r="Z60" i="87" s="1"/>
  <c r="C81" i="9"/>
  <c r="C97" i="9"/>
  <c r="D56" i="9" s="1"/>
  <c r="M54" i="9" l="1"/>
  <c r="N57" i="9" s="1"/>
  <c r="P57" i="9" s="1"/>
  <c r="N58" i="9" l="1"/>
  <c r="N59" i="9"/>
  <c r="H111" i="9" l="1"/>
  <c r="D19" i="53" s="1"/>
  <c r="B38" i="72" s="1"/>
  <c r="K10" i="87"/>
  <c r="N60" i="9"/>
  <c r="N61" i="9"/>
  <c r="H112" i="9" s="1"/>
  <c r="P37" i="9"/>
  <c r="P38" i="9" s="1"/>
  <c r="P39" i="9" s="1"/>
  <c r="J19" i="9"/>
  <c r="D126" i="9" l="1"/>
  <c r="D12" i="52" s="1"/>
  <c r="D21" i="53"/>
  <c r="B39" i="72" s="1"/>
  <c r="D20" i="53"/>
  <c r="B40" i="72" s="1"/>
  <c r="D135" i="85"/>
  <c r="I14" i="74" l="1"/>
  <c r="B8" i="74" s="1"/>
  <c r="D127" i="9"/>
  <c r="D13" i="52" s="1"/>
  <c r="D8" i="74" l="1"/>
  <c r="AA57" i="87"/>
  <c r="C8" i="74"/>
  <c r="AA52" i="87" l="1"/>
  <c r="K15" i="87" s="1"/>
  <c r="AA51" i="87"/>
  <c r="K14" i="87" s="1"/>
  <c r="AA48" i="87"/>
  <c r="Y36" i="87" l="1"/>
  <c r="AA36" i="87" s="1"/>
  <c r="Y46" i="87"/>
  <c r="Y44" i="87"/>
  <c r="Y45" i="87"/>
  <c r="Y39" i="87"/>
  <c r="Y40" i="87"/>
  <c r="Y38" i="87"/>
  <c r="Z36" i="87" l="1"/>
  <c r="Y43" i="87"/>
  <c r="Y49" i="87" s="1"/>
  <c r="J13" i="87" s="1"/>
  <c r="W49" i="87"/>
  <c r="Z47" i="87"/>
  <c r="AA47" i="87"/>
  <c r="Z46" i="87"/>
  <c r="AA46" i="87"/>
  <c r="Z45" i="87"/>
  <c r="AA45" i="87"/>
  <c r="Z44" i="87"/>
  <c r="AA44" i="87"/>
  <c r="Y37" i="87"/>
  <c r="W41" i="87"/>
  <c r="Z40" i="87"/>
  <c r="AA40" i="87"/>
  <c r="Z39" i="87"/>
  <c r="AA39" i="87"/>
  <c r="Z38" i="87"/>
  <c r="AA38" i="87"/>
  <c r="Z43" i="87" l="1"/>
  <c r="Z49" i="87"/>
  <c r="AA43" i="87"/>
  <c r="AA49" i="87" s="1"/>
  <c r="K13" i="87" s="1"/>
  <c r="Z37" i="87"/>
  <c r="AA37" i="87"/>
  <c r="AA41" i="87" s="1"/>
  <c r="K12" i="87" s="1"/>
  <c r="Y41" i="87"/>
  <c r="J12" i="87" s="1"/>
  <c r="J16" i="87" s="1"/>
  <c r="Z41" i="87" l="1"/>
  <c r="J18" i="87"/>
  <c r="AA53" i="87"/>
  <c r="AA54" i="87" l="1"/>
  <c r="K16" i="87"/>
  <c r="K18" i="8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<sst xmlns="http://schemas.openxmlformats.org/spreadsheetml/2006/main" count="12631" uniqueCount="4429">
  <si>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</si>
  <si>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</si>
  <si>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</si>
  <si>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</si>
  <si>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</si>
  <si>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</si>
  <si>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</si>
  <si>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</si>
  <si>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</si>
  <si>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</si>
  <si>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</si>
  <si>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</si>
  <si>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</si>
  <si>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</si>
  <si>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</si>
  <si>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</si>
  <si>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</si>
  <si>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</si>
  <si>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</si>
  <si>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</si>
  <si>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</si>
  <si>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</si>
  <si>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</si>
  <si>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</si>
  <si>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</si>
  <si>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</si>
  <si>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</si>
  <si>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</si>
  <si>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</si>
  <si>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</si>
  <si>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</si>
  <si>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</si>
  <si>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</si>
  <si>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</si>
  <si>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</si>
  <si>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</si>
  <si>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</si>
  <si>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</si>
  <si>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</si>
  <si>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</si>
  <si>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</si>
  <si>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</si>
  <si>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</si>
  <si>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</si>
  <si>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</si>
  <si>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</si>
  <si>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</si>
  <si>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</si>
  <si>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</si>
  <si>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</si>
  <si>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</si>
  <si>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</si>
  <si>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</si>
  <si>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</si>
  <si>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</si>
  <si>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</si>
  <si>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</si>
  <si>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</si>
  <si>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</si>
  <si>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</si>
  <si>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</si>
  <si>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</si>
  <si>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</si>
  <si>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</si>
  <si>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</si>
  <si>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</si>
  <si>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</si>
  <si>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</si>
  <si>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</si>
  <si>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</si>
  <si>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</si>
  <si>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</si>
  <si>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</si>
  <si>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</si>
  <si>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</si>
  <si>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</si>
  <si>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</si>
  <si>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</si>
  <si>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</si>
  <si>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</si>
  <si>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</si>
  <si>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</si>
  <si>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</si>
  <si>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</si>
  <si>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</si>
  <si>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</si>
  <si>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</si>
  <si>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</si>
  <si>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</si>
  <si>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</si>
  <si>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</si>
  <si>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</si>
  <si>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</si>
  <si>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</si>
  <si>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</si>
  <si>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</si>
  <si>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</si>
  <si>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</si>
  <si>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</si>
  <si>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</si>
  <si>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</si>
  <si>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</si>
  <si>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</si>
  <si>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</si>
  <si>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</si>
  <si>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</si>
  <si>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</si>
  <si>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</si>
  <si>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</si>
  <si>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</si>
  <si>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</si>
  <si>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</si>
  <si>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</si>
  <si>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</si>
  <si>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</si>
  <si>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</si>
  <si>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</si>
  <si>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</si>
  <si>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</si>
  <si>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</si>
  <si>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</si>
  <si>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</si>
  <si>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</si>
  <si>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</si>
  <si>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</si>
  <si>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</si>
  <si>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</si>
  <si>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</si>
  <si>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</si>
  <si>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</si>
  <si>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</si>
  <si>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</si>
  <si>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</si>
  <si>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</si>
  <si>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</si>
  <si>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</si>
  <si>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</si>
  <si>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</si>
  <si>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</si>
  <si>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</si>
  <si>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</si>
  <si>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</si>
  <si>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</si>
  <si>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</si>
  <si>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</si>
  <si>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</si>
  <si>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</si>
  <si>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</si>
  <si>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</si>
  <si>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</si>
  <si>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</si>
  <si>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</si>
  <si>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</si>
  <si>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</si>
  <si>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</si>
  <si>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</si>
  <si>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</si>
  <si>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</si>
  <si>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</si>
  <si>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</si>
  <si>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</si>
  <si>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</si>
  <si>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</si>
  <si>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</si>
  <si>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</si>
  <si>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</si>
  <si>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</si>
  <si>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</si>
  <si>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</si>
  <si>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</si>
  <si>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</si>
  <si>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</si>
  <si>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</si>
  <si>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</si>
  <si>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</si>
  <si>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</si>
  <si>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</si>
  <si>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</si>
  <si>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</si>
  <si>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</si>
  <si>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</si>
  <si>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</si>
  <si>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</si>
  <si>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</si>
  <si>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</si>
  <si>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</si>
  <si>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</si>
  <si>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</si>
  <si>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</si>
  <si>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</si>
  <si>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</si>
  <si>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</si>
  <si>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</si>
  <si>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</si>
  <si>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</si>
  <si>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</si>
  <si>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</si>
  <si>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</si>
  <si>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</si>
  <si>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</si>
  <si>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</si>
  <si>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</si>
  <si>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</si>
  <si>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</si>
  <si>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</si>
  <si>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</si>
  <si>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</si>
  <si>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</si>
  <si>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</si>
  <si>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</si>
  <si>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</si>
  <si>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</si>
  <si>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</si>
  <si>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</si>
  <si>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</si>
  <si>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</si>
  <si>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</si>
  <si>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</si>
  <si>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</si>
  <si>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</si>
  <si>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</si>
  <si>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</si>
  <si>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</si>
  <si>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</si>
  <si>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</si>
  <si>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</si>
  <si>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</si>
  <si>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</si>
  <si>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</si>
  <si>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</si>
  <si>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</si>
  <si>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</si>
  <si>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</si>
  <si>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</si>
  <si>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</si>
  <si>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</si>
  <si>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</si>
  <si>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</si>
  <si>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</si>
  <si>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</si>
  <si>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</si>
  <si>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</si>
  <si>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</si>
  <si>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</si>
  <si>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</si>
  <si>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</si>
  <si>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</si>
  <si>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</si>
  <si>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</si>
  <si>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</si>
  <si>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</si>
  <si>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</si>
  <si>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</si>
  <si>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</si>
  <si>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</si>
  <si>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</si>
  <si>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</si>
  <si>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</si>
  <si>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</si>
  <si>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</si>
  <si>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</si>
  <si>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</si>
  <si>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</si>
  <si>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</si>
  <si>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</si>
  <si>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</si>
  <si>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</si>
  <si>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</si>
  <si>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</si>
  <si>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</si>
  <si>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</si>
  <si>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</si>
  <si>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</si>
  <si>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</si>
  <si>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</si>
  <si>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</si>
  <si>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</si>
  <si>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</si>
  <si>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</si>
  <si>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</si>
  <si>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</si>
  <si>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</si>
  <si>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</si>
  <si>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</si>
  <si>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</si>
  <si>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</si>
  <si>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</si>
  <si>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</si>
  <si>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</si>
  <si>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</si>
  <si>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</si>
  <si>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</si>
  <si>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</si>
  <si>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</si>
  <si>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</si>
  <si>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</si>
  <si>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</si>
  <si>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</si>
  <si>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</si>
  <si>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</si>
  <si>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</si>
  <si>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</si>
  <si>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</si>
  <si>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</si>
  <si>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</si>
  <si>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</si>
  <si>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</si>
  <si>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</si>
  <si>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</si>
  <si>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</si>
  <si>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</si>
  <si>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</si>
  <si>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</si>
  <si>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</si>
  <si>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</si>
  <si>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</si>
  <si>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</si>
  <si>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</si>
  <si>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</si>
  <si>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</si>
  <si>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</si>
  <si>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</si>
  <si>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</si>
  <si>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</si>
  <si>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</si>
  <si>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</si>
  <si>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</si>
  <si>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</si>
  <si>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</si>
  <si>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</si>
  <si>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</si>
  <si>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</si>
  <si>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</si>
  <si>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</si>
  <si>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</si>
  <si>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</si>
  <si>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</si>
  <si>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</si>
  <si>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</si>
  <si>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</si>
  <si>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</si>
  <si>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</si>
  <si>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</si>
  <si>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</si>
  <si>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</si>
  <si>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</si>
  <si>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</si>
  <si>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</si>
  <si>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</si>
  <si>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</si>
  <si>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</si>
  <si>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</si>
  <si>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</si>
  <si>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</si>
  <si>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</si>
  <si>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</si>
  <si>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</si>
  <si>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</si>
  <si>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</si>
  <si>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</si>
  <si>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</si>
  <si>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</si>
  <si>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</si>
  <si>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</si>
  <si>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</si>
  <si>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</si>
  <si>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</si>
  <si>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</si>
  <si>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</si>
  <si>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</si>
  <si>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</si>
  <si>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</si>
  <si>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</si>
  <si>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</si>
  <si>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</si>
  <si>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</si>
  <si>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</si>
  <si>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</si>
  <si>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</si>
  <si>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</si>
  <si>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</si>
  <si>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</si>
  <si>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</si>
  <si>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</si>
  <si>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</si>
  <si>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</si>
  <si>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</si>
  <si>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</si>
  <si>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</si>
  <si>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</si>
  <si>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</si>
  <si>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</si>
  <si>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</si>
  <si>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</si>
  <si>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</si>
  <si>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</si>
  <si>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</si>
  <si>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</si>
  <si>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</si>
  <si>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</si>
  <si>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</si>
  <si>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</si>
  <si>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</si>
  <si>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</si>
  <si>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</si>
  <si>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</si>
  <si>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</si>
  <si>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</si>
  <si>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</si>
  <si>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</si>
  <si>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</si>
  <si>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</si>
  <si>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</si>
  <si>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</si>
  <si>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</si>
  <si>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</si>
  <si>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</si>
  <si>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</si>
  <si>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</si>
  <si>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</si>
  <si>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</si>
  <si>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</si>
  <si>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</si>
  <si>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</si>
  <si>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</si>
  <si>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</si>
  <si>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</si>
  <si>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</si>
  <si>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</si>
  <si>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</si>
  <si>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</si>
  <si>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</si>
  <si>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</si>
  <si>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</si>
  <si>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</si>
  <si>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</si>
  <si>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</si>
  <si>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</si>
  <si>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</si>
  <si>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</si>
  <si>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</si>
  <si>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</si>
  <si>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</si>
  <si>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</si>
  <si>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</si>
  <si>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</si>
  <si>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</si>
  <si>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</si>
  <si>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</si>
  <si>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</si>
  <si>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</si>
  <si>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</si>
  <si>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</si>
  <si>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</si>
  <si>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</si>
  <si>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</si>
  <si>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</si>
  <si>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</si>
  <si>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</si>
  <si>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</si>
  <si>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</si>
  <si>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</si>
  <si>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</si>
  <si>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</si>
  <si>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</si>
  <si>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</si>
  <si>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</si>
  <si>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</si>
  <si>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</si>
  <si>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</si>
  <si>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</si>
  <si>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</si>
  <si>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</si>
  <si>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</si>
  <si>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</si>
  <si>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</si>
  <si>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</si>
  <si>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</si>
  <si>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</si>
  <si>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</si>
  <si>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</si>
  <si>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</si>
  <si>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</si>
  <si>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</si>
  <si>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</si>
  <si>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</si>
  <si>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</si>
  <si>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</si>
  <si>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</si>
  <si>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</si>
  <si>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</si>
  <si>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</si>
  <si>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</si>
  <si>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</si>
  <si>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</si>
  <si>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</si>
  <si>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</si>
  <si>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</si>
  <si>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</si>
  <si>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</si>
  <si>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</si>
  <si>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</si>
  <si>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</si>
  <si>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</si>
  <si>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</si>
  <si>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</si>
  <si>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</si>
  <si>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</si>
  <si>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</si>
  <si>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</si>
  <si>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</si>
  <si>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</si>
  <si>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</si>
  <si>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</si>
  <si>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</si>
  <si>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</si>
  <si>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</si>
  <si>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</si>
  <si>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</si>
  <si>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</si>
  <si>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</si>
  <si>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</si>
  <si>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</si>
  <si>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</si>
  <si>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</si>
  <si>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</si>
  <si>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</si>
  <si>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</si>
  <si>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</si>
  <si>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</si>
  <si>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</si>
  <si>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</si>
  <si>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</si>
  <si>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</si>
  <si>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</si>
  <si>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</si>
  <si>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</si>
  <si>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</si>
  <si>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</si>
  <si>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</si>
  <si>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</si>
  <si>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</si>
  <si>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</si>
  <si>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</si>
  <si>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</si>
  <si>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</si>
  <si>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</si>
  <si>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</si>
  <si>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</si>
  <si>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</si>
  <si>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</si>
  <si>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</si>
  <si>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</si>
  <si>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</si>
  <si>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</si>
  <si>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</si>
  <si>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</si>
  <si>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</si>
  <si>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</si>
  <si>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</si>
  <si>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</si>
  <si>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</si>
  <si>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</si>
  <si>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</si>
  <si>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</si>
  <si>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</si>
  <si>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</si>
  <si>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</si>
  <si>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</si>
  <si>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</si>
  <si>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</si>
  <si>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</si>
  <si>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</si>
  <si>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</si>
  <si>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</si>
  <si>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</si>
  <si>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</si>
  <si>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</si>
  <si>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</si>
  <si>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</si>
  <si>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</si>
  <si>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</si>
  <si>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</si>
  <si>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</si>
  <si>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</si>
  <si>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</si>
  <si>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</si>
  <si>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</si>
  <si>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</si>
  <si>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</si>
  <si>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</si>
  <si>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</si>
  <si>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</si>
  <si>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</si>
  <si>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</si>
  <si>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</si>
  <si>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</si>
  <si>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</si>
  <si>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</si>
  <si>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</si>
  <si>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</si>
  <si>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</si>
  <si>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</si>
  <si>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</si>
  <si>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</si>
  <si>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</si>
  <si>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</si>
  <si>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</si>
  <si>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</si>
  <si>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</si>
  <si>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</si>
  <si>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</si>
  <si>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</si>
  <si>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</si>
  <si>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</si>
  <si>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</si>
  <si>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</si>
  <si>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</si>
  <si>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</si>
  <si>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</si>
  <si>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</si>
  <si>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</si>
  <si>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</si>
  <si>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</si>
  <si>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</si>
  <si>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</si>
  <si>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</si>
  <si>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</si>
  <si>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</si>
  <si>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</si>
  <si>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</si>
  <si>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</si>
  <si>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</si>
  <si>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</si>
  <si>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</si>
  <si>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</si>
  <si>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</si>
  <si>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</si>
  <si>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</si>
  <si>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</si>
  <si>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</si>
  <si>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</si>
  <si>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</si>
  <si>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</si>
  <si>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</si>
  <si>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</si>
  <si>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</si>
  <si>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</si>
  <si>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</si>
  <si>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</si>
  <si>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</si>
  <si>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</si>
  <si>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</si>
  <si>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</si>
  <si>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</si>
  <si>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</si>
  <si>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</si>
  <si>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</si>
  <si>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</si>
  <si>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</si>
  <si>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</si>
  <si>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</si>
  <si>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</si>
  <si>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</si>
  <si>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</si>
  <si>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</si>
  <si>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</si>
  <si>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</si>
  <si>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</si>
  <si>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</si>
  <si>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</si>
  <si>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</si>
  <si>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</si>
  <si>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</si>
  <si>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</si>
  <si>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</si>
  <si>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</si>
  <si>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</si>
  <si>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</si>
  <si>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</si>
  <si>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</si>
  <si>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</si>
  <si>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</si>
  <si>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</si>
  <si>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</si>
  <si>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</si>
  <si>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</si>
  <si>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</si>
  <si>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</si>
  <si>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</si>
  <si>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</si>
  <si>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</si>
  <si>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</si>
  <si>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</si>
  <si>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</si>
  <si>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</si>
  <si>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</si>
  <si>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</si>
  <si>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</si>
  <si>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</si>
  <si>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</si>
  <si>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</si>
  <si>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</si>
  <si>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</si>
  <si>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</si>
  <si>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</si>
  <si>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</si>
  <si>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</si>
  <si>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</si>
  <si>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</si>
  <si>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</si>
  <si>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</si>
  <si>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</si>
  <si>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</si>
  <si>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</si>
  <si>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</si>
  <si>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</si>
  <si>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</si>
  <si>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</si>
  <si>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</si>
  <si>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</si>
  <si>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</si>
  <si>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</si>
  <si>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</si>
  <si>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</si>
  <si>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</si>
  <si>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</si>
  <si>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</si>
  <si>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</si>
  <si>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</si>
  <si>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</si>
  <si>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</si>
  <si>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</si>
  <si>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</si>
  <si>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</si>
  <si>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</si>
  <si>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</si>
  <si>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</si>
  <si>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</si>
  <si>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</si>
  <si>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</si>
  <si>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</si>
  <si>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</si>
  <si>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</si>
  <si>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</si>
  <si>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</si>
  <si>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</si>
  <si>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</si>
  <si>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</si>
  <si>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</si>
  <si>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</si>
  <si>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</si>
  <si>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</si>
  <si>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</si>
  <si>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</si>
  <si>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</si>
  <si>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</si>
  <si>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</si>
  <si>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</si>
  <si>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</si>
  <si>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</si>
  <si>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</si>
  <si>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</si>
  <si>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</si>
  <si>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</si>
  <si>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</si>
  <si>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</si>
  <si>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</si>
  <si>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</si>
  <si>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</si>
  <si>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</si>
  <si>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</si>
  <si>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</si>
  <si>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</si>
  <si>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</si>
  <si>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</si>
  <si>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</si>
  <si>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</si>
  <si>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</si>
  <si>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</si>
  <si>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</si>
  <si>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</si>
  <si>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</si>
  <si>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</si>
  <si>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</si>
  <si>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</si>
  <si>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</si>
  <si>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</si>
  <si>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</si>
  <si>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</si>
  <si>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</si>
  <si>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</si>
  <si>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</si>
  <si>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</si>
  <si>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</si>
  <si>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</si>
  <si>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</si>
  <si>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</si>
  <si>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</si>
  <si>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</si>
  <si>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</si>
  <si>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</si>
  <si>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</si>
  <si>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</si>
  <si>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</si>
  <si>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</si>
  <si>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</si>
  <si>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</si>
  <si>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</si>
  <si>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</si>
  <si>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</si>
  <si>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</si>
  <si>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</si>
  <si>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</si>
  <si>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</si>
  <si>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</si>
  <si>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</si>
  <si>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</si>
  <si>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</si>
  <si>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</si>
  <si>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</si>
  <si>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</si>
  <si>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</si>
  <si>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</si>
  <si>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</si>
  <si>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</si>
  <si>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</si>
  <si>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</si>
  <si>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</si>
  <si>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</si>
  <si>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</si>
  <si>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</si>
  <si>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</si>
  <si>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</si>
  <si>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</si>
  <si>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</si>
  <si>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</si>
  <si>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</si>
  <si>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</si>
  <si>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</si>
  <si>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</si>
  <si>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</si>
  <si>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</si>
  <si>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</si>
  <si>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</si>
  <si>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</si>
  <si>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</si>
  <si>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</si>
  <si>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</si>
  <si>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</si>
  <si>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</si>
  <si>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</si>
  <si>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</si>
  <si>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</si>
  <si>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</si>
  <si>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</si>
  <si>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</si>
  <si>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</si>
  <si>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</si>
  <si>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</si>
  <si>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</si>
  <si>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</si>
  <si>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</si>
  <si>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</si>
  <si>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</si>
  <si>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</si>
  <si>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</si>
  <si>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</si>
  <si>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</si>
  <si>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</si>
  <si>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</si>
  <si>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</si>
  <si>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</si>
  <si>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</si>
  <si>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</si>
  <si>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</si>
  <si>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</si>
  <si>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</si>
  <si>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</si>
  <si>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</si>
  <si>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</si>
  <si>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</si>
  <si>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</si>
  <si>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</si>
  <si>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</si>
  <si>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</si>
  <si>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</si>
  <si>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</si>
  <si>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</si>
  <si>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</si>
  <si>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</si>
  <si>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</si>
  <si>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</si>
  <si>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</si>
  <si>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</si>
  <si>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</si>
  <si>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</si>
  <si>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</si>
  <si>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</si>
  <si>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</si>
  <si>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</si>
  <si>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</si>
  <si>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</si>
  <si>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</si>
  <si>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</si>
  <si>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</si>
  <si>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</si>
  <si>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</si>
  <si>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</si>
  <si>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</si>
  <si>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</si>
  <si>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</si>
  <si>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</si>
  <si>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</si>
  <si>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</si>
  <si>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</si>
  <si>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</si>
  <si>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</si>
  <si>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</si>
  <si>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</si>
  <si>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</si>
  <si>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</si>
  <si>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</si>
  <si>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</si>
  <si>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</si>
  <si>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</si>
  <si>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</si>
  <si>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</si>
  <si>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</si>
  <si>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</si>
  <si>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</si>
  <si>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</si>
  <si>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</si>
  <si>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</si>
  <si>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</si>
  <si>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</si>
  <si>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</si>
  <si>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</si>
  <si>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</si>
  <si>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</si>
  <si>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</si>
  <si>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</si>
  <si>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</si>
  <si>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</si>
  <si>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</si>
  <si>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</si>
  <si>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</si>
  <si>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</si>
  <si>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</si>
  <si>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</si>
  <si>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</si>
  <si>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</si>
  <si>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</si>
  <si>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</si>
  <si>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</si>
  <si>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</si>
  <si>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</si>
  <si>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</si>
  <si>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</si>
  <si>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</si>
  <si>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</si>
  <si>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</si>
  <si>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</si>
  <si>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</si>
  <si>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</si>
  <si>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</si>
  <si>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</si>
  <si>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</si>
  <si>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</si>
  <si>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</si>
  <si>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</si>
  <si>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</si>
  <si>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</si>
  <si>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</si>
  <si>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</si>
  <si>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</si>
  <si>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</si>
  <si>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</si>
  <si>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</si>
  <si>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</si>
  <si>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</si>
  <si>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</si>
  <si>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</si>
  <si>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</si>
  <si>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</si>
  <si>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</si>
  <si>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</si>
  <si>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</si>
  <si>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</si>
  <si>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</si>
  <si>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</si>
  <si>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</si>
  <si>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</si>
  <si>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</si>
  <si>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</si>
  <si>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</si>
  <si>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</si>
  <si>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</si>
  <si>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</si>
  <si>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</si>
  <si>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</si>
  <si>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</si>
  <si>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</si>
  <si>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</si>
  <si>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</si>
  <si>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</si>
  <si>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</si>
  <si>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</si>
  <si>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</si>
  <si>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</si>
  <si>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</si>
  <si>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</si>
  <si>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</si>
  <si>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</si>
  <si>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</si>
  <si>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</si>
  <si>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</si>
  <si>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</si>
  <si>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</si>
  <si>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</si>
  <si>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</si>
  <si>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</si>
  <si>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</si>
  <si>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</si>
  <si>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</si>
  <si>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</si>
  <si>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</si>
  <si>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</si>
  <si>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</si>
  <si>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</si>
  <si>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</si>
  <si>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</si>
  <si>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</si>
  <si>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</si>
  <si>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</si>
  <si>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</si>
  <si>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</si>
  <si>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</si>
  <si>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</si>
  <si>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</si>
  <si>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</si>
  <si>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</si>
  <si>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</si>
  <si>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</si>
  <si>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</si>
  <si>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</si>
  <si>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</si>
  <si>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</si>
  <si>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</si>
  <si>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</si>
  <si>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</si>
  <si>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</si>
  <si>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</si>
  <si>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</si>
  <si>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</si>
  <si>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</si>
  <si>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</si>
  <si>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</si>
  <si>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</si>
  <si>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</si>
  <si>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</si>
  <si>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</si>
  <si>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</si>
  <si>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</si>
  <si>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</si>
  <si>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</si>
  <si>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</si>
  <si>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</si>
  <si>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</si>
  <si>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</si>
  <si>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</si>
  <si>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</si>
  <si>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</si>
  <si>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</si>
  <si>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</si>
  <si>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</si>
  <si>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</si>
  <si>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</si>
  <si>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</si>
  <si>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</si>
  <si>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</si>
  <si>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</si>
  <si>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</si>
  <si>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</si>
  <si>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</si>
  <si>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</si>
  <si>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</si>
  <si>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</si>
  <si>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</si>
  <si>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</si>
  <si>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</si>
  <si>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</si>
  <si>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</si>
  <si>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</si>
  <si>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</si>
  <si>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</si>
  <si>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</si>
  <si>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</si>
  <si>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</si>
  <si>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</si>
  <si>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</si>
  <si>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</si>
  <si>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</si>
  <si>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</si>
  <si>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</si>
  <si>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</si>
  <si>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</si>
  <si>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</si>
  <si>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</si>
  <si>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</si>
  <si>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</si>
  <si>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</si>
  <si>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</si>
  <si>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</si>
  <si>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</si>
  <si>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</si>
  <si>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</si>
  <si>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</si>
  <si>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</si>
  <si>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</si>
  <si>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</si>
  <si>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</si>
  <si>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</si>
  <si>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</si>
  <si>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</si>
  <si>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</si>
  <si>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</si>
  <si>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</si>
  <si>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</si>
  <si>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</si>
  <si>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</si>
  <si>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</si>
  <si>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</si>
  <si>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</si>
  <si>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</si>
  <si>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</si>
  <si>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</si>
  <si>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</si>
  <si>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</si>
  <si>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</si>
  <si>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</si>
  <si>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</si>
  <si>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</si>
  <si>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</si>
  <si>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</si>
  <si>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</si>
  <si>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</si>
  <si>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</si>
  <si>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</si>
  <si>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</si>
  <si>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</si>
  <si>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</si>
  <si>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</si>
  <si>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</si>
  <si>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</si>
  <si>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</si>
  <si>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</si>
  <si>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</si>
  <si>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</si>
  <si>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</si>
  <si>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</si>
  <si>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</si>
  <si>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</si>
  <si>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</si>
  <si>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</si>
  <si>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</si>
  <si>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</si>
  <si>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</si>
  <si>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</si>
  <si>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</si>
  <si>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</si>
  <si>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</si>
  <si>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</si>
  <si>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</si>
  <si>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</si>
  <si>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</si>
  <si>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</si>
  <si>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</si>
  <si>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</si>
  <si>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</si>
  <si>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</si>
  <si>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</si>
  <si>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</si>
  <si>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</si>
  <si>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</si>
  <si>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</si>
  <si>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</si>
  <si>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</si>
  <si>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</si>
  <si>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</si>
  <si>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</si>
  <si>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</si>
  <si>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</si>
  <si>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</si>
  <si>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</si>
  <si>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</si>
  <si>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</si>
  <si>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</si>
  <si>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</si>
  <si>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</si>
  <si>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</si>
  <si>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</si>
  <si>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</si>
  <si>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</si>
  <si>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</si>
  <si>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</si>
  <si>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</si>
  <si>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</si>
  <si>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</si>
  <si>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</si>
  <si>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</si>
  <si>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</si>
  <si>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</si>
  <si>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</si>
  <si>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</si>
  <si>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</si>
  <si>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</si>
  <si>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</si>
  <si>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</si>
  <si>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</si>
  <si>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</si>
  <si>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</si>
  <si>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</si>
  <si>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</si>
  <si>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</si>
  <si>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</si>
  <si>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</si>
  <si>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</si>
  <si>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</si>
  <si>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</si>
  <si>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</si>
  <si>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</si>
  <si>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</si>
  <si>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</si>
  <si>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</si>
  <si>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</si>
  <si>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</si>
  <si>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</si>
  <si>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</si>
  <si>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</si>
  <si>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</si>
  <si>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</si>
  <si>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</si>
  <si>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</si>
  <si>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</si>
  <si>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</si>
  <si>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</si>
  <si>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</si>
  <si>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</si>
  <si>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</si>
  <si>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</si>
  <si>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</si>
  <si>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</si>
  <si>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</si>
  <si>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</si>
  <si>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</si>
  <si>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</si>
  <si>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</si>
  <si>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</si>
  <si>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</si>
  <si>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</si>
  <si>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</si>
  <si>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</si>
  <si>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</si>
  <si>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</si>
  <si>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</si>
  <si>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</si>
  <si>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</si>
  <si>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</si>
  <si>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</si>
  <si>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</si>
  <si>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</si>
  <si>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</si>
  <si>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</si>
  <si>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</si>
  <si>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</si>
  <si>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</si>
  <si>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</si>
  <si>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</si>
  <si>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</si>
  <si>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</si>
  <si>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</si>
  <si>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</si>
  <si>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</si>
  <si>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</si>
  <si>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</si>
  <si>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</si>
  <si>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</si>
  <si>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</si>
  <si>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</si>
  <si>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</si>
  <si>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</si>
  <si>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</si>
  <si>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</si>
  <si>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</si>
  <si>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</si>
  <si>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</si>
  <si>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</si>
  <si>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</si>
  <si>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</si>
  <si>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</si>
  <si>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</si>
  <si>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</si>
  <si>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</si>
  <si>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</si>
  <si>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</si>
  <si>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</si>
  <si>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</si>
  <si>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</si>
  <si>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</si>
  <si>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</si>
  <si>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</si>
  <si>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</si>
  <si>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</si>
  <si>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</si>
  <si>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</si>
  <si>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</si>
  <si>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</si>
  <si>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</si>
  <si>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</si>
  <si>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</si>
  <si>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</si>
  <si>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</si>
  <si>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</si>
  <si>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</si>
  <si>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</si>
  <si>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</si>
  <si>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</si>
  <si>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</si>
  <si>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</si>
  <si>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</si>
  <si>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</si>
  <si>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</si>
  <si>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</si>
  <si>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</si>
  <si>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</si>
  <si>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</si>
  <si>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</si>
  <si>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</si>
  <si>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</si>
  <si>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</si>
  <si>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</si>
  <si>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</si>
  <si>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</si>
  <si>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</si>
  <si>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</si>
  <si>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</si>
  <si>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</si>
  <si>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</si>
  <si>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</si>
  <si>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</si>
  <si>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</si>
  <si>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</si>
  <si>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</si>
  <si>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</si>
  <si>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</si>
  <si>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</si>
  <si>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</si>
  <si>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</si>
  <si>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</si>
  <si>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</si>
  <si>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</si>
  <si>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</si>
  <si>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</si>
  <si>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</si>
  <si>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</si>
  <si>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</si>
  <si>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</si>
  <si>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</si>
  <si>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</si>
  <si>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</si>
  <si>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</si>
  <si>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</si>
  <si>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</si>
  <si>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</si>
  <si>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</si>
  <si>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</si>
  <si>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</si>
  <si>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</si>
  <si>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</si>
  <si>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</si>
  <si>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</si>
  <si>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</si>
  <si>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</si>
  <si>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</si>
  <si>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</si>
  <si>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</si>
  <si>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</si>
  <si>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</si>
  <si>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</si>
  <si>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</si>
  <si>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</si>
  <si>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</si>
  <si>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</si>
  <si>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</si>
  <si>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</si>
  <si>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</si>
  <si>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</si>
  <si>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</si>
  <si>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</si>
  <si>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</si>
  <si>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</si>
  <si>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</si>
  <si>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</si>
  <si>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</si>
  <si>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</si>
  <si>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</si>
  <si>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</si>
  <si>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</si>
  <si>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</si>
  <si>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</si>
  <si>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</si>
  <si>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</si>
  <si>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</si>
  <si>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</si>
  <si>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</si>
  <si>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</si>
  <si>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</si>
  <si>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</si>
  <si>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</si>
  <si>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</si>
  <si>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</si>
  <si>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</si>
  <si>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</si>
  <si>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</si>
  <si>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</si>
  <si>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</si>
  <si>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</si>
  <si>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</si>
  <si>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</si>
  <si>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</si>
  <si>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</si>
  <si>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</si>
  <si>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</si>
  <si>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</si>
  <si>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</si>
  <si>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</si>
  <si>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</si>
  <si>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</si>
  <si>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</si>
  <si>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</si>
  <si>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</si>
  <si>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</si>
  <si>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</si>
  <si>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</si>
  <si>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</si>
  <si>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</si>
  <si>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</si>
  <si>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</si>
  <si>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</si>
  <si>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</si>
  <si>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</si>
  <si>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</si>
  <si>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</si>
  <si>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</si>
  <si>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</si>
  <si>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</si>
  <si>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</si>
  <si>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</si>
  <si>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</si>
  <si>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</si>
  <si>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</si>
  <si>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</si>
  <si>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</si>
  <si>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</si>
  <si>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</si>
  <si>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</si>
  <si>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</si>
  <si>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</si>
  <si>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</si>
  <si>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</si>
  <si>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</si>
  <si>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</si>
  <si>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</si>
  <si>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</si>
  <si>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</si>
  <si>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</si>
  <si>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</si>
  <si>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</si>
  <si>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</si>
  <si>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</si>
  <si>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</si>
  <si>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</si>
  <si>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</si>
  <si>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</si>
  <si>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</si>
  <si>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</si>
  <si>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</si>
  <si>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</si>
  <si>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</si>
  <si>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</si>
  <si>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</si>
  <si>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</si>
  <si>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</si>
  <si>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</si>
  <si>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</si>
  <si>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</si>
  <si>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</si>
  <si>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</si>
  <si>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</si>
  <si>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</si>
  <si>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</si>
  <si>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</si>
  <si>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</si>
  <si>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</si>
  <si>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</si>
  <si>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</si>
  <si>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</si>
  <si>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</si>
  <si>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</si>
  <si>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</si>
  <si>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</si>
  <si>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</si>
  <si>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</si>
  <si>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</si>
  <si>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</si>
  <si>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</si>
  <si>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</si>
  <si>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</si>
  <si>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</si>
  <si>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</si>
  <si>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</si>
  <si>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</si>
  <si>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</si>
  <si>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</si>
  <si>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</si>
  <si>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</si>
  <si>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</si>
  <si>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</si>
  <si>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</si>
  <si>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</si>
  <si>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</si>
  <si>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</si>
  <si>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</si>
  <si>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</si>
  <si>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</si>
  <si>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</si>
  <si>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</si>
  <si>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</si>
  <si>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</si>
  <si>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</si>
  <si>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</si>
  <si>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</si>
  <si>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</si>
  <si>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</si>
  <si>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</si>
  <si>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</si>
  <si>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</si>
  <si>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</si>
  <si>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</si>
  <si>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</si>
  <si>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</si>
  <si>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</si>
  <si>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</si>
  <si>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</si>
  <si>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</si>
  <si>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</si>
  <si>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</si>
  <si>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</si>
  <si>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</si>
  <si>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</si>
  <si>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</si>
  <si>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</si>
  <si>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</si>
  <si>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</si>
  <si>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</si>
  <si>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</si>
  <si>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</si>
  <si>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</si>
  <si>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</si>
  <si>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</si>
  <si>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</si>
  <si>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</si>
  <si>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</si>
  <si>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</si>
  <si>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</si>
  <si>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</si>
  <si>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</si>
  <si>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</si>
  <si>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</si>
  <si>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</si>
  <si>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</si>
  <si>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</si>
  <si>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</si>
  <si>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</si>
  <si>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</si>
  <si>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</si>
  <si>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</si>
  <si>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</si>
  <si>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</si>
  <si>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</si>
  <si>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</si>
  <si>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</si>
  <si>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</si>
  <si>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</si>
  <si>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</si>
  <si>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</si>
  <si>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</si>
  <si>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</si>
  <si>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</si>
  <si>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</si>
  <si>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</si>
  <si>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</si>
  <si>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</si>
  <si>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</si>
  <si>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</si>
  <si>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</si>
  <si>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</si>
  <si>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</si>
  <si>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</si>
  <si>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</si>
  <si>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</si>
  <si>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</si>
  <si>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</si>
  <si>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</si>
  <si>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</si>
  <si>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</si>
  <si>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</si>
  <si>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</si>
  <si>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</si>
  <si>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</si>
  <si>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</si>
  <si>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</si>
  <si>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</si>
  <si>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</si>
  <si>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</si>
  <si>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</si>
  <si>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</si>
  <si>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</si>
  <si>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</si>
  <si>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</si>
  <si>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</si>
  <si>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</si>
  <si>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</si>
  <si>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</si>
  <si>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</si>
  <si>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</si>
  <si>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</si>
  <si>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</si>
  <si>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</si>
  <si>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</si>
  <si>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</si>
  <si>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</si>
  <si>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</si>
  <si>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</si>
  <si>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</si>
  <si>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</si>
  <si>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</si>
  <si>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</si>
  <si>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</si>
  <si>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</si>
  <si>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</si>
  <si>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</si>
  <si>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</si>
  <si>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</si>
  <si>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</si>
  <si>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</si>
  <si>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</si>
  <si>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</si>
  <si>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</si>
  <si>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</si>
  <si>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</si>
  <si>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</si>
  <si>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</si>
  <si>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</si>
  <si>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</si>
  <si>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</si>
  <si>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</si>
  <si>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</si>
  <si>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</si>
  <si>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</si>
  <si>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</si>
  <si>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</si>
  <si>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</si>
  <si>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</si>
  <si>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</si>
  <si>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</si>
  <si>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</si>
  <si>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</si>
  <si>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</si>
  <si>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</si>
  <si>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</si>
  <si>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</si>
  <si>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</si>
  <si>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</si>
  <si>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</si>
  <si>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</si>
  <si>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</si>
  <si>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</si>
  <si>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</si>
  <si>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</si>
  <si>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</si>
  <si>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</si>
  <si>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</si>
  <si>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</si>
  <si>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</si>
  <si>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</si>
  <si>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</si>
  <si>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</si>
  <si>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</si>
  <si>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</si>
  <si>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</si>
  <si>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</si>
  <si>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</si>
  <si>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</si>
  <si>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</si>
  <si>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</si>
  <si>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</si>
  <si>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</si>
  <si>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</si>
  <si>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</si>
  <si>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</si>
  <si>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</si>
  <si>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</si>
  <si>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</si>
  <si>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</si>
  <si>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</si>
  <si>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</si>
  <si>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</si>
  <si>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</si>
  <si>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</si>
  <si>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</si>
  <si>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</si>
  <si>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</si>
  <si>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</si>
  <si>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</si>
  <si>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</si>
  <si>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</si>
  <si>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</si>
  <si>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</si>
  <si>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</si>
  <si>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</si>
  <si>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</si>
  <si>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</si>
  <si>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</si>
  <si>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</si>
  <si>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</si>
  <si>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</si>
  <si>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</si>
  <si>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</si>
  <si>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</si>
  <si>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</si>
  <si>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</si>
  <si>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</si>
  <si>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</si>
  <si>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</si>
  <si>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</si>
  <si>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</si>
  <si>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</si>
  <si>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</si>
  <si>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</si>
  <si>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</si>
  <si>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</si>
  <si>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</si>
  <si>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</si>
  <si>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</si>
  <si>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</si>
  <si>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</si>
  <si>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</si>
  <si>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</si>
  <si>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</si>
  <si>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</si>
  <si>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</si>
  <si>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</si>
  <si>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</si>
  <si>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</si>
  <si>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</si>
  <si>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</si>
  <si>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</si>
  <si>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</si>
  <si>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</si>
  <si>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</si>
  <si>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</si>
  <si>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</si>
  <si>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</si>
  <si>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</si>
  <si>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</si>
  <si>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</si>
  <si>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</si>
  <si>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</si>
  <si>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</si>
  <si>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</si>
  <si>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</si>
  <si>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</si>
  <si>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</si>
  <si>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</si>
  <si>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</si>
  <si>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</si>
  <si>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</si>
  <si>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</si>
  <si>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</si>
  <si>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</si>
  <si>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</si>
  <si>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</si>
  <si>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</si>
  <si>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</si>
  <si>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</si>
  <si>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</si>
  <si>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</si>
  <si>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</si>
  <si>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</si>
  <si>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</si>
  <si>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</si>
  <si>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</si>
  <si>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</si>
  <si>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</si>
  <si>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</si>
  <si>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</si>
  <si>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</si>
  <si>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</si>
  <si>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</si>
  <si>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</si>
  <si>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</si>
  <si>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</si>
  <si>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</si>
  <si>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</si>
  <si>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</si>
  <si>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</si>
  <si>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</si>
  <si>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</si>
  <si>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</si>
  <si>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</si>
  <si>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</si>
  <si>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</si>
  <si>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</si>
  <si>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</si>
  <si>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</si>
  <si>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</si>
  <si>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</si>
  <si>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</si>
  <si>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</si>
  <si>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</si>
  <si>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</si>
  <si>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</si>
  <si>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</si>
  <si>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</si>
  <si>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</si>
  <si>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</si>
  <si>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</si>
  <si>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</si>
  <si>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</si>
  <si>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</si>
  <si>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</si>
  <si>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</si>
  <si>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</si>
  <si>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</si>
  <si>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</si>
  <si>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</si>
  <si>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</si>
  <si>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</si>
  <si>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</si>
  <si>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</si>
  <si>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</si>
  <si>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</si>
  <si>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</si>
  <si>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</si>
  <si>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</si>
  <si>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</si>
  <si>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</si>
  <si>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</si>
  <si>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</si>
  <si>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</si>
  <si>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</si>
  <si>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</si>
  <si>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</si>
  <si>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</si>
  <si>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</si>
  <si>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</si>
  <si>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</si>
  <si>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</si>
  <si>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</si>
  <si>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</si>
  <si>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</si>
  <si>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</si>
  <si>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</si>
  <si>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</si>
  <si>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</si>
  <si>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</si>
  <si>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</si>
  <si>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</si>
  <si>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</si>
  <si>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</si>
  <si>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</si>
  <si>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</si>
  <si>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</si>
  <si>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</si>
  <si>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</si>
  <si>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</si>
  <si>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</si>
  <si>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</si>
  <si>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</si>
  <si>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</si>
  <si>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</si>
  <si>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</si>
  <si>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</si>
  <si>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</si>
  <si>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</si>
  <si>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</si>
  <si>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</si>
  <si>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</si>
  <si>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</si>
  <si>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</si>
  <si>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</si>
  <si>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</si>
  <si>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</si>
  <si>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</si>
  <si>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</si>
  <si>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</si>
  <si>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</si>
  <si>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</si>
  <si>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</si>
  <si>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</si>
  <si>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</si>
  <si>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</si>
  <si>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</si>
  <si>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</si>
  <si>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</si>
  <si>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</si>
  <si>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</si>
  <si>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</si>
  <si>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</si>
  <si>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</si>
  <si>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</si>
  <si>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</si>
  <si>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</si>
  <si>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</si>
  <si>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</si>
  <si>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</si>
  <si>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</si>
  <si>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</si>
  <si>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</si>
  <si>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</si>
  <si>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</si>
  <si>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</si>
  <si>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</si>
  <si>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</si>
  <si>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</si>
  <si>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</si>
  <si>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</si>
  <si>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</si>
  <si>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</si>
  <si>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</si>
  <si>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</si>
  <si>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</si>
  <si>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</si>
  <si>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</si>
  <si>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</si>
  <si>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</si>
  <si>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</si>
  <si>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</si>
  <si>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</si>
  <si>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</si>
  <si>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</si>
  <si>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</si>
  <si>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</si>
  <si>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</si>
  <si>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</si>
  <si>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</si>
  <si>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</si>
  <si>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</si>
  <si>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</si>
  <si>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</si>
  <si>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</si>
  <si>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</si>
  <si>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</si>
  <si>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</si>
  <si>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</si>
  <si>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</si>
  <si>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</si>
  <si>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</si>
  <si>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</si>
  <si>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</si>
  <si>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</si>
  <si>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</si>
  <si>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</si>
  <si>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</si>
  <si>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</si>
  <si>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</si>
  <si>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</si>
  <si>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</si>
  <si>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</si>
  <si>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</si>
  <si>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</si>
  <si>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</si>
  <si>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</si>
  <si>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</si>
  <si>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</si>
  <si>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</si>
  <si>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</si>
  <si>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</si>
  <si>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</si>
  <si>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</si>
  <si>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</si>
  <si>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</si>
  <si>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</si>
  <si>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</si>
  <si>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</si>
  <si>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</si>
  <si>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</si>
  <si>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</si>
  <si>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</si>
  <si>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</si>
  <si>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</si>
  <si>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</si>
  <si>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</si>
  <si>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</si>
  <si>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</si>
  <si>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</si>
  <si>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</si>
  <si>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</si>
  <si>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</si>
  <si>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</si>
  <si>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</si>
  <si>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</si>
  <si>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</si>
  <si>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</si>
  <si>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</si>
  <si>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</si>
  <si>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</si>
  <si>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</si>
  <si>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</si>
  <si>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</si>
  <si>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</si>
  <si>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</si>
  <si>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</si>
  <si>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</si>
  <si>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</si>
  <si>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</si>
  <si>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</si>
  <si>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</si>
  <si>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</si>
  <si>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</si>
  <si>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</si>
  <si>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</si>
  <si>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</si>
  <si>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</si>
  <si>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</si>
  <si>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</si>
  <si>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</si>
  <si>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</si>
  <si>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</si>
  <si>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</si>
  <si>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</si>
  <si>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</si>
  <si>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</si>
  <si>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</si>
  <si>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</si>
  <si>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</si>
  <si>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</si>
  <si>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</si>
  <si>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</si>
  <si>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</si>
  <si>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</si>
  <si>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</si>
  <si>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</si>
  <si>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</si>
  <si>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</si>
  <si>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</si>
  <si>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</si>
  <si>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</si>
  <si>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</si>
  <si>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</si>
  <si>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</si>
  <si>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</si>
  <si>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</si>
  <si>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</si>
  <si>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</si>
  <si>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</si>
  <si>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</si>
  <si>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</si>
  <si>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</si>
  <si>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</si>
  <si>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</si>
  <si>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</si>
  <si>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</si>
  <si>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</si>
  <si>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</si>
  <si>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</si>
  <si>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</si>
  <si>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</si>
  <si>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</si>
  <si>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</si>
  <si>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</si>
  <si>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</si>
  <si>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</si>
  <si>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</si>
  <si>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</si>
  <si>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</si>
  <si>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</si>
  <si>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</si>
  <si>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</si>
  <si>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</si>
  <si>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</si>
  <si>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</si>
  <si>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</si>
  <si>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</si>
  <si>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</si>
  <si>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</si>
  <si>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</si>
  <si>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</si>
  <si>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</si>
  <si>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</si>
  <si>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</si>
  <si>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</si>
  <si>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</si>
  <si>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</si>
  <si>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</si>
  <si>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</si>
  <si>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</si>
  <si>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</si>
  <si>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</si>
  <si>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</si>
  <si>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</si>
  <si>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</si>
  <si>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</si>
  <si>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</si>
  <si>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</si>
  <si>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</si>
  <si>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</si>
  <si>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</si>
  <si>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</si>
  <si>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</si>
  <si>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</si>
  <si>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</si>
  <si>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</si>
  <si>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</si>
  <si>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</si>
  <si>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</si>
  <si>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</si>
  <si>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</si>
  <si>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</si>
  <si>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</si>
  <si>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</si>
  <si>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</si>
  <si>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</si>
  <si>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</si>
  <si>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</si>
  <si>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</si>
  <si>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</si>
  <si>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</si>
  <si>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</si>
  <si>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</si>
  <si>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</si>
  <si>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</si>
  <si>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</si>
  <si>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</si>
  <si>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</si>
  <si>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</si>
  <si>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</si>
  <si>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</si>
  <si>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</si>
  <si>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</si>
  <si>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</si>
  <si>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</si>
  <si>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</si>
  <si>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</si>
  <si>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</si>
  <si>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</si>
  <si>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</si>
  <si>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</si>
  <si>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</si>
  <si>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</si>
  <si>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</si>
  <si>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</si>
  <si>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</si>
  <si>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</si>
  <si>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</si>
  <si>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</si>
  <si>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</si>
  <si>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</si>
  <si>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</si>
  <si>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</si>
  <si>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</si>
  <si>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</si>
  <si>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</si>
  <si>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</si>
  <si>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</si>
  <si>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</si>
  <si>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</si>
  <si>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</si>
  <si>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</si>
  <si>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</si>
  <si>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</si>
  <si>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</si>
  <si>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</si>
  <si>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</si>
  <si>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</si>
  <si>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</si>
  <si>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</si>
  <si>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</si>
  <si>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</si>
  <si>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</si>
  <si>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</si>
  <si>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</si>
  <si>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</si>
  <si>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</si>
  <si>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</si>
  <si>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</si>
  <si>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</si>
  <si>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</si>
  <si>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</si>
  <si>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</si>
  <si>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</si>
  <si>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</si>
  <si>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</si>
  <si>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</si>
  <si>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</si>
  <si>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</si>
  <si>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</si>
  <si>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</si>
  <si>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</si>
  <si>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</si>
  <si>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</si>
  <si>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</si>
  <si>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</si>
  <si>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</si>
  <si>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</si>
  <si>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</si>
  <si>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</si>
  <si>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</si>
  <si>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</si>
  <si>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</si>
  <si>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</si>
  <si>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</si>
  <si>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</si>
  <si>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</si>
  <si>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</si>
  <si>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</si>
  <si>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</si>
  <si>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</si>
  <si>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</si>
  <si>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</si>
  <si>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</si>
  <si>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</si>
  <si>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</si>
  <si>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</si>
  <si>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</si>
  <si>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</si>
  <si>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</si>
  <si>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</si>
  <si>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</si>
  <si>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</si>
  <si>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</si>
  <si>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</si>
  <si>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</si>
  <si>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</si>
  <si>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</si>
  <si>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</si>
  <si>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</si>
  <si>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</si>
  <si>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</si>
  <si>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</si>
  <si>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</si>
  <si>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</si>
  <si>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</si>
  <si>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</si>
  <si>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</si>
  <si>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</si>
  <si>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</si>
  <si>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</si>
  <si>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</si>
  <si>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</si>
  <si>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</si>
  <si>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</si>
  <si>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</si>
  <si>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</si>
  <si>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</si>
  <si>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</si>
  <si>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</si>
  <si>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</si>
  <si>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</si>
  <si>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</si>
  <si>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</si>
  <si>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</si>
  <si>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</si>
  <si>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</si>
  <si>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</si>
  <si>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</si>
  <si>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</si>
  <si>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</si>
  <si>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</si>
  <si>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</si>
  <si>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</si>
  <si>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</si>
  <si>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</si>
  <si>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</si>
  <si>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</si>
  <si>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</si>
  <si>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</si>
  <si>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</si>
  <si>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</si>
  <si>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</si>
  <si>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</si>
  <si>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</si>
  <si>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</si>
  <si>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</si>
  <si>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</si>
  <si>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</si>
  <si>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</si>
  <si>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</si>
  <si>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</si>
  <si>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</si>
  <si>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</si>
  <si>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</si>
  <si>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</si>
  <si>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</si>
  <si>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</si>
  <si>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</si>
  <si>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</si>
  <si>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</si>
  <si>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</si>
  <si>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</si>
  <si>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</si>
  <si>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</si>
  <si>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</si>
  <si>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</si>
  <si>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</si>
  <si>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</si>
  <si>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</si>
  <si>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</si>
  <si>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</si>
  <si>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</si>
  <si>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</si>
  <si>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</si>
  <si>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</si>
  <si>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</si>
  <si>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</si>
  <si>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</si>
  <si>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</si>
  <si>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</si>
  <si>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</si>
  <si>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</si>
  <si>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</si>
  <si>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</si>
  <si>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</si>
  <si>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</si>
  <si>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</si>
  <si>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</si>
  <si>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</si>
  <si>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</si>
  <si>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</si>
  <si>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</si>
  <si>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</si>
  <si>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</si>
  <si>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</si>
  <si>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</si>
  <si>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</si>
  <si>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</si>
  <si>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</si>
  <si>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</si>
  <si>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</si>
  <si>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</si>
  <si>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</si>
  <si>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</si>
  <si>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</si>
  <si>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</si>
  <si>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</si>
  <si>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</si>
  <si>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</si>
  <si>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</si>
  <si>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</si>
  <si>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</si>
  <si>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</si>
  <si>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</si>
  <si>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</si>
  <si>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</si>
  <si>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</si>
  <si>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</si>
  <si>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</si>
  <si>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</si>
  <si>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</si>
  <si>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</si>
  <si>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</si>
  <si>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</si>
  <si>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</si>
  <si>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</si>
  <si>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</si>
  <si>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</si>
  <si>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</si>
  <si>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</si>
  <si>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</si>
  <si>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</si>
  <si>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</si>
  <si>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</si>
  <si>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</si>
  <si>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</si>
  <si>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</si>
  <si>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</si>
  <si>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</si>
  <si>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</si>
  <si>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</si>
  <si>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</si>
  <si>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</si>
  <si>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</si>
  <si>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</si>
  <si>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</si>
  <si>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</si>
  <si>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</si>
  <si>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</si>
  <si>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</si>
  <si>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</si>
  <si>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</si>
  <si>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</si>
  <si>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</si>
  <si>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</si>
  <si>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</si>
  <si>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</si>
  <si>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</si>
  <si>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</si>
  <si>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</si>
  <si>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</si>
  <si>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</si>
  <si>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</si>
  <si>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</si>
  <si>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</si>
  <si>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</si>
  <si>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</si>
  <si>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</si>
  <si>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</si>
  <si>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</si>
  <si>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</si>
  <si>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</si>
  <si>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</si>
  <si>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</si>
  <si>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</si>
  <si>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</si>
  <si>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</si>
  <si>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</si>
  <si>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</si>
  <si>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</si>
  <si>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</si>
  <si>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</si>
  <si>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</si>
  <si>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</si>
  <si>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</si>
  <si>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</si>
  <si>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</si>
  <si>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</si>
  <si>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</si>
  <si>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</si>
  <si>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</si>
  <si>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</si>
  <si>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</si>
  <si>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</si>
  <si>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</si>
  <si>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</si>
  <si>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</si>
  <si>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</si>
  <si>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</si>
  <si>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</si>
  <si>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</si>
  <si>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</si>
  <si>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</si>
  <si>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</si>
  <si>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</si>
  <si>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</si>
  <si>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</si>
  <si>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</si>
  <si>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</si>
  <si>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</si>
  <si>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</si>
  <si>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</si>
  <si>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</si>
  <si>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</si>
  <si>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</si>
  <si>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</si>
  <si>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</si>
  <si>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</si>
  <si>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</si>
  <si>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</si>
  <si>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</si>
  <si>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</si>
  <si>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</si>
  <si>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</si>
  <si>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</si>
  <si>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</si>
  <si>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</si>
  <si>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</si>
  <si>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</si>
  <si>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</si>
  <si>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</si>
  <si>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</si>
  <si>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</si>
  <si>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</si>
  <si>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</si>
  <si>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</si>
  <si>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</si>
  <si>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</si>
  <si>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</si>
  <si>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</si>
  <si>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</si>
  <si>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</si>
  <si>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</si>
  <si>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</si>
  <si>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</si>
  <si>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</si>
  <si>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</si>
  <si>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</si>
  <si>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</si>
  <si>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</si>
  <si>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</si>
  <si>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</si>
  <si>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</si>
  <si>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</si>
  <si>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</si>
  <si>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</si>
  <si>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</si>
  <si>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</si>
  <si>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</si>
  <si>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</si>
  <si>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</si>
  <si>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</si>
  <si>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</si>
  <si>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</si>
  <si>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</si>
  <si>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</si>
  <si>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</si>
  <si>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</si>
  <si>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</si>
  <si>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</si>
  <si>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</si>
  <si>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</si>
  <si>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</si>
  <si>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</si>
  <si>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</si>
  <si>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</si>
  <si>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</si>
  <si>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</si>
  <si>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</si>
  <si>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</si>
  <si>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</si>
  <si>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</si>
  <si>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</si>
  <si>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</si>
  <si>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</si>
  <si>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</si>
  <si>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</si>
  <si>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</si>
  <si>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</si>
  <si>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</si>
  <si>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</si>
  <si>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</si>
  <si>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</si>
  <si>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</si>
  <si>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</si>
  <si>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</si>
  <si>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</si>
  <si>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</si>
  <si>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</si>
  <si>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</si>
  <si>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</si>
  <si>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</si>
  <si>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</si>
  <si>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</si>
  <si>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</si>
  <si>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</si>
  <si>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</si>
  <si>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</si>
  <si>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</si>
  <si>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</si>
  <si>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</si>
  <si>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</si>
  <si>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</si>
  <si>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</si>
  <si>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</si>
  <si>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</si>
  <si>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</si>
  <si>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</si>
  <si>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</si>
  <si>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</si>
  <si>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</si>
  <si>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</si>
  <si>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</si>
  <si>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</si>
  <si>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</si>
  <si>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</si>
  <si>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</si>
  <si>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</si>
  <si>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</si>
  <si>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</si>
  <si>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</si>
  <si>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</si>
  <si>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</si>
  <si>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</si>
  <si>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</si>
  <si>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</si>
  <si>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</si>
  <si>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</si>
  <si>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</si>
  <si>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</si>
  <si>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</si>
  <si>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</si>
  <si>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</si>
  <si>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</si>
  <si>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</si>
  <si>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</si>
  <si>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</si>
  <si>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</si>
  <si>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</si>
  <si>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</si>
  <si>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</si>
  <si>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</si>
  <si>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</si>
  <si>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</si>
  <si>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</si>
  <si>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</si>
  <si>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</si>
  <si>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</si>
  <si>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</si>
  <si>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</si>
  <si>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</si>
  <si>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</si>
  <si>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</si>
  <si>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</si>
  <si>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</si>
  <si>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</si>
  <si>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</si>
  <si>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</si>
  <si>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</si>
  <si>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</si>
  <si>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</si>
  <si>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</si>
  <si>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</si>
  <si>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</si>
  <si>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</si>
  <si>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</si>
  <si>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</si>
  <si>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</si>
  <si>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</si>
  <si>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</si>
  <si>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</si>
  <si>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</si>
  <si>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</si>
  <si>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</si>
  <si>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</si>
  <si>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</si>
  <si>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</si>
  <si>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</si>
  <si>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</si>
  <si>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</si>
  <si>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</si>
  <si>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</si>
  <si>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</si>
  <si>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</si>
  <si>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</si>
  <si>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</si>
  <si>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</si>
  <si>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</si>
  <si>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</si>
  <si>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</si>
  <si>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</si>
  <si>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</si>
  <si>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</si>
  <si>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</si>
  <si>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</si>
  <si>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</si>
  <si>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</si>
  <si>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</si>
  <si>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</si>
  <si>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</si>
  <si>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</si>
  <si>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</si>
  <si>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</si>
  <si>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</si>
  <si>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</si>
  <si>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</si>
  <si>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</si>
  <si>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</si>
  <si>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</si>
  <si>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</si>
  <si>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</si>
  <si>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</si>
  <si>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</si>
  <si>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</si>
  <si>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</si>
  <si>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</si>
  <si>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</si>
  <si>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</si>
  <si>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</si>
  <si>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</si>
  <si>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</si>
  <si>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</si>
  <si>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</si>
  <si>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</si>
  <si>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</si>
  <si>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</si>
  <si>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</si>
  <si>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</si>
  <si>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</si>
  <si>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</si>
  <si>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</si>
  <si>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</si>
  <si>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</si>
  <si>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</si>
  <si>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</si>
  <si>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</si>
  <si>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</si>
  <si>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</si>
  <si>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</si>
  <si>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</si>
  <si>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</si>
  <si>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</si>
  <si>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</si>
  <si>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</si>
  <si>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</si>
  <si>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</si>
  <si>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</si>
  <si>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</si>
  <si>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</si>
  <si>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</si>
  <si>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</si>
  <si>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</si>
  <si>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</si>
  <si>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</si>
  <si>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</si>
  <si>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</si>
  <si>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</si>
  <si>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</si>
  <si>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</si>
  <si>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</si>
  <si>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</si>
  <si>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</si>
  <si>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</si>
  <si>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</si>
  <si>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</si>
  <si>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</si>
  <si>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</si>
  <si>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</si>
  <si>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</si>
  <si>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</si>
  <si>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</si>
  <si>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</si>
  <si>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</si>
  <si>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</si>
  <si>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</si>
  <si>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</si>
  <si>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</si>
  <si>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</si>
  <si>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</si>
  <si>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</si>
  <si>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</si>
  <si>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</si>
  <si>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</si>
  <si>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</si>
  <si>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</si>
  <si>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</si>
  <si>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</si>
  <si>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</si>
  <si>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</si>
  <si>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</si>
  <si>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</si>
  <si>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</si>
  <si>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</si>
  <si>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</si>
  <si>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</si>
  <si>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</si>
  <si>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</si>
  <si>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</si>
  <si>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</si>
  <si>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</si>
  <si>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</si>
  <si>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</si>
  <si>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</si>
  <si>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</si>
  <si>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</si>
  <si>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</si>
  <si>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</si>
  <si>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</si>
  <si>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</si>
  <si>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</si>
  <si>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</si>
  <si>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</si>
  <si>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</si>
  <si>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</si>
  <si>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</si>
  <si>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</si>
  <si>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</si>
  <si>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</si>
  <si>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</si>
  <si>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</si>
  <si>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</si>
  <si>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</si>
  <si>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</si>
  <si>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</si>
  <si>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</si>
  <si>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</si>
  <si>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</si>
  <si>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</si>
  <si>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</si>
  <si>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</si>
  <si>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</si>
  <si>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</si>
  <si>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</si>
  <si>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</si>
  <si>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</si>
  <si>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</si>
  <si>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</si>
  <si>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</si>
  <si>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</si>
  <si>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</si>
  <si>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</si>
  <si>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</si>
  <si>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</si>
  <si>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</si>
  <si>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</si>
  <si>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</si>
  <si>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</si>
  <si>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</si>
  <si>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</si>
  <si>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</si>
  <si>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</si>
  <si>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</si>
  <si>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</si>
  <si>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</si>
  <si>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</si>
  <si>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</si>
  <si>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</si>
  <si>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</si>
  <si>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</si>
  <si>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</si>
  <si>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</si>
  <si>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</si>
  <si>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</si>
  <si>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</si>
  <si>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</si>
  <si>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</si>
  <si>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</si>
  <si>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</si>
  <si>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</si>
  <si>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</si>
  <si>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</si>
  <si>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</si>
  <si>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</si>
  <si>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</si>
  <si>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</si>
  <si>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</si>
  <si>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</si>
  <si>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</si>
  <si>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</si>
  <si>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</si>
  <si>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</si>
  <si>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</si>
  <si>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</si>
  <si>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</si>
  <si>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</si>
  <si>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</si>
  <si>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</si>
  <si>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</si>
  <si>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</si>
  <si>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</si>
  <si>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</si>
  <si>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</si>
  <si>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</si>
  <si>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</si>
  <si>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</si>
  <si>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</si>
  <si>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</si>
  <si>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</si>
  <si>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</si>
  <si>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</si>
  <si>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</si>
  <si>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</si>
  <si>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</si>
  <si>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</si>
  <si>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</si>
  <si>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</si>
  <si>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</si>
  <si>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</si>
  <si>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</si>
  <si>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</si>
  <si>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</si>
  <si>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</si>
  <si>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</si>
  <si>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</si>
  <si>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</si>
  <si>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</si>
  <si>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</si>
  <si>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</si>
  <si>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</si>
  <si>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</si>
  <si>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</si>
  <si>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</si>
  <si>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</si>
  <si>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</si>
  <si>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</si>
  <si>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</si>
  <si>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</si>
  <si>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</si>
  <si>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</si>
  <si>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</si>
  <si>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</si>
  <si>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</si>
  <si>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</si>
  <si>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</si>
  <si>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</si>
  <si>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</si>
  <si>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</si>
  <si>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</si>
  <si>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</si>
  <si>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</si>
  <si>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</si>
  <si>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</si>
  <si>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</si>
  <si>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</si>
  <si>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</si>
  <si>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</si>
  <si>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</si>
  <si>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</si>
  <si>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</si>
  <si>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</si>
  <si>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</si>
  <si>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</si>
  <si>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</si>
  <si>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</si>
  <si>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</si>
  <si>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</si>
  <si>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</si>
  <si>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</si>
  <si>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</si>
  <si>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</si>
  <si>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</si>
  <si>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</si>
  <si>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</si>
  <si>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</si>
  <si>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</si>
  <si>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</si>
  <si>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</si>
  <si>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</si>
  <si>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</si>
  <si>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</si>
  <si>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</si>
  <si>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</si>
  <si>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</si>
  <si>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</si>
  <si>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</si>
  <si>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</si>
  <si>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</si>
  <si>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</si>
  <si>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</si>
  <si>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</si>
  <si>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</si>
  <si>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</si>
  <si>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</si>
  <si>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</si>
  <si>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</si>
  <si>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</si>
  <si>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</si>
  <si>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</si>
  <si>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</si>
  <si>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</si>
  <si>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</si>
  <si>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</si>
  <si>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</si>
  <si>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</si>
  <si>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</si>
  <si>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</si>
  <si>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</si>
  <si>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</si>
  <si>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</si>
  <si>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</si>
  <si>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</si>
  <si>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</si>
  <si>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</si>
  <si>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</si>
  <si>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</si>
  <si>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</si>
  <si>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</si>
  <si>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</si>
  <si>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</si>
  <si>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</si>
  <si>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</si>
  <si>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</si>
  <si>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</si>
  <si>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</si>
  <si>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</si>
  <si>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</si>
  <si>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</si>
  <si>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</si>
  <si>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</si>
  <si>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</si>
  <si>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</si>
  <si>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</si>
  <si>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</si>
  <si>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</si>
  <si>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</si>
  <si>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</si>
  <si>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</si>
  <si>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</si>
  <si>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</si>
  <si>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</si>
  <si>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</si>
  <si>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</si>
  <si>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</si>
  <si>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</si>
  <si>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</si>
  <si>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</si>
  <si>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</si>
  <si>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</si>
  <si>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</si>
  <si>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</si>
  <si>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</si>
  <si>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</si>
  <si>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</si>
  <si>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</si>
  <si>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</si>
  <si>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</si>
  <si>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</si>
  <si>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</si>
  <si>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</si>
  <si>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</si>
  <si>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</si>
  <si>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</si>
  <si>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</si>
  <si>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</si>
  <si>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</si>
  <si>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</si>
  <si>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</si>
  <si>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</si>
  <si>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</si>
  <si>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</si>
  <si>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</si>
  <si>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</si>
  <si>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</si>
  <si>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</si>
  <si>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</si>
  <si>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</si>
  <si>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</si>
  <si>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</si>
  <si>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</si>
  <si>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</si>
  <si>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</si>
  <si>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</si>
  <si>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</si>
  <si>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</si>
  <si>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</si>
  <si>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</si>
  <si>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</si>
  <si>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</si>
  <si>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</si>
  <si>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</si>
  <si>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</si>
  <si>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</si>
  <si>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</si>
  <si>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</si>
  <si>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</si>
  <si>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</si>
  <si>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</si>
  <si>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</si>
  <si>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</si>
  <si>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</si>
  <si>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</si>
  <si>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</si>
  <si>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</si>
  <si>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</si>
  <si>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</si>
  <si>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</si>
  <si>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</si>
  <si>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</si>
  <si>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</si>
  <si>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</si>
  <si>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</si>
  <si>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</si>
  <si>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</si>
  <si>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</si>
  <si>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</si>
  <si>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</si>
  <si>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</si>
  <si>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</si>
  <si>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</si>
  <si>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</si>
  <si>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</si>
  <si>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</si>
  <si>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</si>
  <si>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</si>
  <si>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</si>
  <si>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</si>
  <si>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</si>
  <si>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</si>
  <si>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</si>
  <si>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</si>
  <si>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</si>
  <si>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</si>
  <si>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</si>
  <si>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</si>
  <si>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</si>
  <si>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</si>
  <si>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</si>
  <si>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</si>
  <si>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</si>
  <si>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</si>
  <si>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</si>
  <si>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</si>
  <si>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</si>
  <si>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</si>
  <si>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</si>
  <si>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</si>
  <si>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</si>
  <si>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</si>
  <si>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</si>
  <si>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</si>
  <si>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</si>
  <si>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</si>
  <si>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</si>
  <si>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</si>
  <si>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</si>
  <si>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</si>
  <si>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</si>
  <si>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</si>
  <si>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</si>
  <si>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</si>
  <si>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</si>
  <si>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</si>
  <si>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</si>
  <si>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</si>
  <si>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</si>
  <si>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</si>
  <si>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</si>
  <si>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</si>
  <si>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</si>
  <si>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</si>
  <si>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</si>
  <si>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</si>
  <si>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</si>
  <si>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</si>
  <si>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</si>
  <si>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</si>
  <si>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</si>
  <si>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</si>
  <si>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</si>
  <si>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</si>
  <si>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</si>
  <si>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</si>
  <si>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</si>
  <si>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</si>
  <si>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</si>
  <si>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</si>
  <si>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</si>
  <si>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</si>
  <si>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</si>
  <si>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</si>
  <si>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</si>
  <si>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</si>
  <si>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</si>
  <si>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</si>
  <si>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</si>
  <si>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</si>
  <si>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</si>
  <si>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</si>
  <si>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</si>
  <si>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</si>
  <si>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</si>
  <si>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</si>
  <si>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</si>
  <si>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</si>
  <si>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</si>
  <si>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</si>
  <si>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</si>
  <si>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</si>
  <si>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</si>
  <si>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</si>
  <si>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</si>
  <si>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</si>
  <si>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</si>
  <si>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</si>
  <si>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</si>
  <si>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</si>
  <si>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</si>
  <si>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</si>
  <si>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</si>
  <si>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</si>
  <si>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</si>
  <si>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</si>
  <si>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</si>
  <si>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</si>
  <si>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</si>
  <si>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</si>
  <si>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</si>
  <si>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</si>
  <si>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</si>
  <si>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</si>
  <si>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</si>
  <si>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</si>
  <si>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</si>
  <si>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</si>
  <si>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</si>
  <si>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</si>
  <si>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</si>
  <si>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</si>
  <si>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</si>
  <si>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</si>
  <si>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</si>
  <si>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</si>
  <si>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</si>
  <si>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</si>
  <si>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</si>
  <si>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</si>
  <si>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</si>
  <si>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</si>
  <si>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</si>
  <si>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</si>
  <si>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</si>
  <si>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</si>
  <si>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</si>
  <si>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</si>
  <si>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</si>
  <si>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</si>
  <si>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</si>
  <si>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</si>
  <si>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</si>
  <si>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</si>
  <si>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</si>
  <si>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</si>
  <si>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</si>
  <si>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</si>
  <si>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</si>
  <si>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</si>
  <si>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</si>
  <si>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</si>
  <si>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</si>
  <si>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</si>
  <si>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</si>
  <si>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</si>
  <si>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</si>
  <si>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</si>
  <si>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</si>
  <si>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</si>
  <si>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</si>
  <si>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</si>
  <si>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</si>
  <si>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</si>
  <si>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</si>
  <si>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</si>
  <si>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</si>
  <si>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</si>
  <si>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</si>
  <si>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</si>
  <si>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</si>
  <si>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</si>
  <si>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</si>
  <si>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</si>
  <si>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</si>
  <si>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</si>
  <si>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</si>
  <si>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</si>
  <si>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</si>
  <si>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</si>
  <si>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</si>
  <si>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</si>
  <si>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</si>
  <si>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</si>
  <si>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</si>
  <si>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</si>
  <si>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</si>
  <si>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</si>
  <si>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</si>
  <si>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</si>
  <si>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</si>
  <si>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</si>
  <si>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</si>
  <si>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</si>
  <si>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</si>
  <si>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</si>
  <si>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</si>
  <si>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</si>
  <si>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</si>
  <si>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</si>
  <si>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</si>
  <si>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</si>
  <si>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</si>
  <si>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</si>
  <si>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</si>
  <si>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</si>
  <si>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</si>
  <si>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</si>
  <si>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</si>
  <si>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</si>
  <si>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</si>
  <si>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</si>
  <si>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</si>
  <si>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</si>
  <si>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</si>
  <si>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</si>
  <si>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</si>
  <si>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</si>
  <si>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</si>
  <si>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</si>
  <si>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</si>
  <si>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</si>
  <si>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</si>
  <si>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</si>
  <si>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</si>
  <si>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</si>
  <si>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</si>
  <si>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</si>
  <si>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</si>
  <si>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</si>
  <si>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</si>
  <si>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</si>
  <si>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</si>
  <si>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</si>
  <si>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</si>
  <si>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</si>
  <si>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</si>
  <si>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</si>
  <si>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</si>
  <si>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</si>
  <si>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</si>
  <si>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</si>
  <si>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</si>
  <si>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</si>
  <si>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</si>
  <si>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</si>
  <si>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</si>
  <si>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</si>
  <si>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</si>
  <si>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</si>
  <si>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</si>
  <si>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</si>
  <si>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</si>
  <si>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</si>
  <si>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</si>
  <si>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</si>
  <si>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</si>
  <si>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</si>
  <si>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</si>
  <si>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</si>
  <si>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</si>
  <si>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</si>
  <si>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</si>
  <si>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</si>
  <si>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</si>
  <si>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</si>
  <si>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</si>
  <si>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</si>
  <si>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</si>
  <si>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</si>
  <si>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</si>
  <si>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</si>
  <si>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</si>
  <si>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</si>
  <si>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</si>
  <si>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</si>
  <si>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</si>
  <si>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</si>
  <si>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</si>
  <si>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</si>
  <si>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</si>
  <si>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</si>
  <si>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</si>
  <si>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</si>
  <si>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</si>
  <si>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2023-3</t>
    <phoneticPr fontId="5" type="noConversion"/>
  </si>
  <si>
    <t>2023-2</t>
    <phoneticPr fontId="5" type="noConversion"/>
  </si>
  <si>
    <t>公示增长率-国家级样点（中心城区）</t>
    <phoneticPr fontId="143" type="noConversion"/>
  </si>
  <si>
    <t>公示增长率-市级样点（非中心城区）</t>
    <phoneticPr fontId="143" type="noConversion"/>
  </si>
  <si>
    <t>2023-3</t>
    <phoneticPr fontId="5" type="noConversion"/>
  </si>
  <si>
    <t>2023-2</t>
    <phoneticPr fontId="5" type="noConversion"/>
  </si>
  <si>
    <t>2024-2</t>
    <phoneticPr fontId="5" type="noConversion"/>
  </si>
  <si>
    <t>2024-1</t>
    <phoneticPr fontId="5" type="noConversion"/>
  </si>
  <si>
    <t>2023-4</t>
    <phoneticPr fontId="5"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</si>
  <si>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</si>
  <si>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</si>
  <si>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</si>
  <si>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</si>
  <si>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</si>
  <si>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</si>
  <si>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</si>
  <si>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</si>
  <si>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</si>
  <si>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</si>
  <si>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</si>
  <si>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</si>
  <si>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</si>
  <si>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</si>
  <si>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</si>
  <si>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</si>
  <si>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</si>
  <si>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</si>
  <si>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</si>
  <si>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</si>
  <si>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</si>
  <si>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</si>
  <si>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</si>
  <si>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</si>
  <si>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</si>
  <si>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</si>
  <si>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</si>
  <si>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</si>
  <si>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</si>
  <si>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</si>
  <si>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</si>
  <si>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</si>
  <si>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</si>
  <si>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</si>
  <si>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</si>
  <si>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</si>
  <si>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2" type="noConversion"/>
  </si>
  <si>
    <t>较好</t>
    <phoneticPr fontId="42" type="noConversion"/>
  </si>
  <si>
    <t>七通</t>
    <phoneticPr fontId="26" type="noConversion"/>
  </si>
  <si>
    <t>一般</t>
  </si>
  <si>
    <t>地下占比</t>
    <phoneticPr fontId="33" type="noConversion"/>
  </si>
  <si>
    <t>项目模式</t>
  </si>
  <si>
    <t>售价</t>
  </si>
  <si>
    <t>商办综合</t>
    <phoneticPr fontId="33" type="noConversion"/>
  </si>
  <si>
    <t>10-20</t>
    <phoneticPr fontId="33"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</si>
  <si>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</si>
  <si>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</si>
  <si>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</si>
  <si>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</si>
  <si>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</si>
  <si>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</si>
  <si>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</si>
  <si>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</si>
  <si>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</si>
  <si>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10" type="noConversion"/>
  </si>
  <si>
    <r>
      <rPr>
        <b/>
        <sz val="10"/>
        <rFont val="宋体"/>
        <family val="3"/>
        <charset val="134"/>
      </rPr>
      <t>金额（万元）</t>
    </r>
    <phoneticPr fontId="10" type="noConversion"/>
  </si>
  <si>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</si>
  <si>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</si>
  <si>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</si>
  <si>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</si>
  <si>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抵押净值</t>
    </r>
    <phoneticPr fontId="10" type="noConversion"/>
  </si>
  <si>
    <r>
      <rPr>
        <sz val="10"/>
        <rFont val="宋体"/>
        <family val="3"/>
        <charset val="134"/>
      </rPr>
      <t>抵押净值单价</t>
    </r>
    <phoneticPr fontId="10" type="noConversion"/>
  </si>
  <si>
    <t>10-15</t>
    <phoneticPr fontId="33" type="noConversion"/>
  </si>
  <si>
    <t>15-20</t>
    <phoneticPr fontId="33" type="noConversion"/>
  </si>
  <si>
    <t>20-25</t>
    <phoneticPr fontId="33" type="noConversion"/>
  </si>
  <si>
    <t>25-30</t>
    <phoneticPr fontId="33" type="noConversion"/>
  </si>
  <si>
    <t>商业</t>
    <phoneticPr fontId="18" type="noConversion"/>
  </si>
  <si>
    <t>商业</t>
    <phoneticPr fontId="9" type="noConversion"/>
  </si>
  <si>
    <t>商业</t>
    <phoneticPr fontId="33" type="noConversion"/>
  </si>
  <si>
    <t>酒店</t>
    <phoneticPr fontId="33"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</si>
  <si>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</si>
  <si>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</si>
  <si>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</si>
  <si>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</si>
  <si>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</si>
  <si>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</si>
  <si>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</si>
  <si>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</si>
  <si>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</si>
  <si>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2" type="noConversion"/>
  </si>
  <si>
    <t>六通</t>
  </si>
  <si>
    <t>四通</t>
  </si>
  <si>
    <t>基准地价</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</si>
  <si>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</si>
  <si>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</si>
  <si>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</si>
  <si>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</si>
  <si>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</si>
  <si>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</si>
  <si>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</si>
  <si>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</si>
  <si>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</si>
  <si>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</si>
  <si>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</si>
  <si>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</si>
  <si>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</si>
  <si>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</si>
  <si>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</si>
  <si>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</si>
  <si>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</si>
  <si>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</si>
  <si>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</si>
  <si>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</si>
  <si>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</si>
  <si>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</si>
  <si>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</si>
  <si>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</si>
  <si>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</si>
  <si>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</si>
  <si>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</si>
  <si>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</si>
  <si>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</si>
  <si>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</si>
  <si>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</si>
  <si>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</si>
  <si>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</si>
  <si>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</si>
  <si>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</si>
  <si>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</si>
  <si>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</si>
  <si>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</si>
  <si>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</si>
  <si>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</si>
  <si>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</si>
  <si>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</si>
  <si>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</si>
  <si>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</si>
  <si>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</si>
  <si>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</si>
  <si>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</si>
  <si>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</si>
  <si>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</si>
  <si>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</si>
  <si>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</si>
  <si>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</si>
  <si>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</si>
  <si>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</si>
  <si>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</si>
  <si>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</si>
  <si>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</si>
  <si>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</si>
  <si>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</si>
  <si>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</si>
  <si>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</si>
  <si>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</si>
  <si>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</si>
  <si>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</si>
  <si>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</si>
  <si>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</si>
  <si>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</si>
  <si>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</si>
  <si>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</si>
  <si>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</si>
  <si>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</si>
  <si>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</si>
  <si>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</si>
  <si>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</si>
  <si>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</si>
  <si>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</si>
  <si>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</si>
  <si>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</si>
  <si>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</si>
  <si>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</si>
  <si>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</si>
  <si>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</si>
  <si>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</si>
  <si>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</si>
  <si>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</si>
  <si>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</si>
  <si>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</si>
  <si>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</si>
  <si>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</si>
  <si>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</si>
  <si>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</si>
  <si>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</si>
  <si>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</si>
  <si>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</si>
  <si>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</si>
  <si>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</si>
  <si>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</si>
  <si>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</si>
  <si>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</si>
  <si>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</si>
  <si>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</si>
  <si>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</si>
  <si>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</si>
  <si>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</si>
  <si>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</si>
  <si>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</si>
  <si>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</si>
  <si>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</si>
  <si>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</si>
  <si>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</si>
  <si>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</si>
  <si>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</si>
  <si>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</si>
  <si>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</si>
  <si>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</si>
  <si>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</si>
  <si>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</si>
  <si>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</si>
  <si>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</si>
  <si>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</si>
  <si>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</si>
  <si>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</si>
  <si>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</si>
  <si>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</si>
  <si>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</si>
  <si>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</si>
  <si>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</si>
  <si>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</si>
  <si>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</si>
  <si>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</si>
  <si>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</si>
  <si>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</si>
  <si>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</si>
  <si>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</si>
  <si>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</si>
  <si>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</si>
  <si>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</si>
  <si>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</si>
  <si>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</si>
  <si>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</si>
  <si>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</si>
  <si>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</si>
  <si>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</si>
  <si>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</si>
  <si>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</si>
  <si>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</si>
  <si>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</si>
  <si>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</si>
  <si>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</si>
  <si>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</si>
  <si>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</si>
  <si>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</si>
  <si>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</si>
  <si>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</si>
  <si>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</si>
  <si>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</si>
  <si>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</si>
  <si>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</si>
  <si>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</si>
  <si>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</si>
  <si>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</si>
  <si>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</si>
  <si>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</si>
  <si>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</si>
  <si>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</si>
  <si>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</si>
  <si>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</si>
  <si>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</si>
  <si>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</si>
  <si>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</si>
  <si>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</si>
  <si>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</si>
  <si>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</si>
  <si>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</si>
  <si>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</si>
  <si>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</si>
  <si>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</si>
  <si>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</si>
  <si>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</si>
  <si>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</si>
  <si>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</si>
  <si>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</si>
  <si>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</si>
  <si>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</si>
  <si>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</si>
  <si>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</si>
  <si>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</si>
  <si>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</si>
  <si>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</si>
  <si>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</si>
  <si>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</si>
  <si>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</si>
  <si>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</si>
  <si>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</si>
  <si>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</si>
  <si>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</si>
  <si>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</si>
  <si>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</si>
  <si>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</si>
  <si>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</si>
  <si>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</si>
  <si>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</si>
  <si>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</si>
  <si>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</si>
  <si>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</si>
  <si>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</si>
  <si>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</si>
  <si>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</si>
  <si>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</si>
  <si>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</si>
  <si>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</si>
  <si>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</si>
  <si>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</si>
  <si>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</si>
  <si>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</si>
  <si>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</si>
  <si>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</si>
  <si>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</si>
  <si>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</si>
  <si>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</si>
  <si>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</si>
  <si>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</si>
  <si>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</si>
  <si>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</si>
  <si>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</si>
  <si>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</si>
  <si>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</si>
  <si>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</si>
  <si>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</si>
  <si>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</si>
  <si>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</si>
  <si>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</si>
  <si>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</si>
  <si>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</si>
  <si>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</si>
  <si>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</si>
  <si>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</si>
  <si>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</si>
  <si>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</si>
  <si>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</si>
  <si>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</si>
  <si>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</si>
  <si>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</si>
  <si>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</si>
  <si>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</si>
  <si>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</si>
  <si>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</si>
  <si>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</si>
  <si>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</si>
  <si>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</si>
  <si>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</si>
  <si>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</si>
  <si>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</si>
  <si>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</si>
  <si>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</si>
  <si>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</si>
  <si>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</si>
  <si>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</si>
  <si>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</si>
  <si>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</si>
  <si>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</si>
  <si>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</si>
  <si>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</si>
  <si>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</si>
  <si>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</si>
  <si>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</si>
  <si>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</si>
  <si>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</si>
  <si>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</si>
  <si>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</si>
  <si>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</si>
  <si>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</si>
  <si>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</si>
  <si>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</si>
  <si>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</si>
  <si>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</si>
  <si>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</si>
  <si>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</si>
  <si>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</si>
  <si>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</si>
  <si>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</si>
  <si>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</si>
  <si>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</si>
  <si>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</si>
  <si>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</si>
  <si>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</si>
  <si>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</si>
  <si>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</si>
  <si>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</si>
  <si>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</si>
  <si>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</si>
  <si>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</si>
  <si>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</si>
  <si>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</si>
  <si>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</si>
  <si>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</si>
  <si>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</si>
  <si>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</si>
  <si>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</si>
  <si>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</si>
  <si>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</si>
  <si>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</si>
  <si>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</si>
  <si>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</si>
  <si>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</si>
  <si>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</si>
  <si>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</si>
  <si>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</si>
  <si>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</si>
  <si>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</si>
  <si>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</si>
  <si>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</si>
  <si>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</si>
  <si>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</si>
  <si>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</si>
  <si>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</si>
  <si>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</si>
  <si>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</si>
  <si>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</si>
  <si>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</si>
  <si>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</si>
  <si>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</si>
  <si>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</si>
  <si>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</si>
  <si>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</si>
  <si>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</si>
  <si>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</si>
  <si>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</si>
  <si>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</si>
  <si>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</si>
  <si>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</si>
  <si>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</si>
  <si>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</si>
  <si>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</si>
  <si>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</si>
  <si>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</si>
  <si>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</si>
  <si>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</si>
  <si>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</si>
  <si>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</si>
  <si>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</si>
  <si>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</si>
  <si>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</si>
  <si>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</si>
  <si>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</si>
  <si>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</si>
  <si>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</si>
  <si>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</si>
  <si>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</si>
  <si>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</si>
  <si>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</si>
  <si>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</si>
  <si>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</si>
  <si>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</si>
  <si>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</si>
  <si>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</si>
  <si>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</si>
  <si>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</si>
  <si>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</si>
  <si>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</si>
  <si>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</si>
  <si>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</si>
  <si>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</si>
  <si>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</si>
  <si>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</si>
  <si>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</si>
  <si>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</si>
  <si>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</si>
  <si>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</si>
  <si>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</si>
  <si>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</si>
  <si>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</si>
  <si>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</si>
  <si>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</si>
  <si>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</si>
  <si>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</si>
  <si>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</si>
  <si>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</si>
  <si>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</si>
  <si>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</si>
  <si>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</si>
  <si>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</si>
  <si>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</si>
  <si>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</si>
  <si>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</si>
  <si>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</si>
  <si>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</si>
  <si>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</si>
  <si>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</si>
  <si>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</si>
  <si>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</si>
  <si>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</si>
  <si>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</si>
  <si>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</si>
  <si>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</si>
  <si>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</si>
  <si>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</si>
  <si>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</si>
  <si>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</si>
  <si>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</si>
  <si>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</si>
  <si>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</si>
  <si>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</si>
  <si>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</si>
  <si>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</si>
  <si>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</si>
  <si>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</si>
  <si>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</si>
  <si>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</si>
  <si>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</si>
  <si>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</si>
  <si>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</si>
  <si>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</si>
  <si>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</si>
  <si>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</si>
  <si>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</si>
  <si>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</si>
  <si>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</si>
  <si>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</si>
  <si>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</si>
  <si>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</si>
  <si>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</si>
  <si>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</si>
  <si>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</si>
  <si>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</si>
  <si>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</si>
  <si>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</si>
  <si>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</si>
  <si>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</si>
  <si>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</si>
  <si>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</si>
  <si>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</si>
  <si>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</si>
  <si>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</si>
  <si>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</si>
  <si>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</si>
  <si>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</si>
  <si>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</si>
  <si>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</si>
  <si>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</si>
  <si>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</si>
  <si>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</si>
  <si>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</si>
  <si>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</si>
  <si>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</si>
  <si>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</si>
  <si>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</si>
  <si>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</si>
  <si>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</si>
  <si>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</si>
  <si>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</si>
  <si>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</si>
  <si>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</si>
  <si>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</si>
  <si>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</si>
  <si>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</si>
  <si>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</si>
  <si>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</si>
  <si>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</si>
  <si>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</si>
  <si>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</si>
  <si>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</si>
  <si>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</si>
  <si>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</si>
  <si>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</si>
  <si>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</si>
  <si>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</si>
  <si>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</si>
  <si>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</si>
  <si>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</si>
  <si>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</si>
  <si>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</si>
  <si>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</si>
  <si>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</si>
  <si>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</si>
  <si>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</si>
  <si>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</si>
  <si>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</si>
  <si>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</si>
  <si>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</si>
  <si>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</si>
  <si>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</si>
  <si>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</si>
  <si>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</si>
  <si>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</si>
  <si>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</si>
  <si>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</si>
  <si>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</si>
  <si>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</si>
  <si>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</si>
  <si>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</si>
  <si>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</si>
  <si>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</si>
  <si>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</si>
  <si>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</si>
  <si>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</si>
  <si>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</si>
  <si>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</si>
  <si>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</si>
  <si>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</si>
  <si>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</si>
  <si>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</si>
  <si>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</si>
  <si>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</si>
  <si>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</si>
  <si>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</si>
  <si>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</si>
  <si>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</si>
  <si>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</si>
  <si>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</si>
  <si>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</si>
  <si>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</si>
  <si>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</si>
  <si>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</si>
  <si>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</si>
  <si>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</si>
  <si>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</si>
  <si>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</si>
  <si>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</si>
  <si>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</si>
  <si>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</si>
  <si>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</si>
  <si>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</si>
  <si>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</si>
  <si>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</si>
  <si>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</si>
  <si>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</si>
  <si>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</si>
  <si>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</si>
  <si>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</si>
  <si>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</si>
  <si>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</si>
  <si>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</si>
  <si>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</si>
  <si>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</si>
  <si>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</si>
  <si>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</si>
  <si>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</si>
  <si>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</si>
  <si>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</si>
  <si>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</si>
  <si>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</si>
  <si>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</si>
  <si>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</si>
  <si>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</si>
  <si>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</si>
  <si>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</si>
  <si>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</si>
  <si>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</si>
  <si>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</si>
  <si>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</si>
  <si>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</si>
  <si>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</si>
  <si>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</si>
  <si>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</si>
  <si>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</si>
  <si>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</si>
  <si>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</si>
  <si>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</si>
  <si>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</si>
  <si>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</si>
  <si>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</si>
  <si>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</si>
  <si>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</si>
  <si>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</si>
  <si>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</si>
  <si>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</si>
  <si>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</si>
  <si>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</si>
  <si>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</si>
  <si>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</si>
  <si>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</si>
  <si>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</si>
  <si>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</si>
  <si>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</si>
  <si>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</si>
  <si>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</si>
  <si>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</si>
  <si>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</si>
  <si>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</si>
  <si>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</si>
  <si>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</si>
  <si>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</si>
  <si>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</si>
  <si>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</si>
  <si>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</si>
  <si>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</si>
  <si>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</si>
  <si>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</si>
  <si>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</si>
  <si>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</si>
  <si>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</si>
  <si>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</si>
  <si>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</si>
  <si>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</si>
  <si>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</si>
  <si>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</si>
  <si>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</si>
  <si>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</si>
  <si>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</si>
  <si>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</si>
  <si>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</si>
  <si>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</si>
  <si>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</si>
  <si>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</si>
  <si>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</si>
  <si>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</si>
  <si>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</si>
  <si>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</si>
  <si>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</si>
  <si>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</si>
  <si>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</si>
  <si>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</si>
  <si>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</si>
  <si>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</si>
  <si>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</si>
  <si>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</si>
  <si>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</si>
  <si>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</si>
  <si>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</si>
  <si>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</si>
  <si>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</si>
  <si>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</si>
  <si>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</si>
  <si>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</si>
  <si>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</si>
  <si>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</si>
  <si>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</si>
  <si>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</si>
  <si>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</si>
  <si>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</si>
  <si>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</si>
  <si>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</si>
  <si>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</si>
  <si>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</si>
  <si>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</si>
  <si>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</si>
  <si>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</si>
  <si>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</si>
  <si>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</si>
  <si>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</si>
  <si>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</si>
  <si>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</si>
  <si>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</si>
  <si>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</si>
  <si>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</si>
  <si>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</si>
  <si>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</si>
  <si>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</si>
  <si>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</si>
  <si>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</si>
  <si>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</si>
  <si>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</si>
  <si>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</si>
  <si>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</si>
  <si>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</si>
  <si>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</si>
  <si>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</si>
  <si>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</si>
  <si>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</si>
  <si>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</si>
  <si>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</si>
  <si>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</si>
  <si>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</si>
  <si>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</si>
  <si>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</si>
  <si>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</si>
  <si>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</si>
  <si>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</si>
  <si>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</si>
  <si>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</si>
  <si>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</si>
  <si>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</si>
  <si>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</si>
  <si>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</si>
  <si>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</si>
  <si>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</si>
  <si>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</si>
  <si>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</si>
  <si>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</si>
  <si>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</si>
  <si>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</si>
  <si>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</si>
  <si>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</si>
  <si>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</si>
  <si>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</si>
  <si>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</si>
  <si>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</si>
  <si>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</si>
  <si>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</si>
  <si>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</si>
  <si>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</si>
  <si>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</si>
  <si>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</si>
  <si>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</si>
  <si>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</si>
  <si>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</si>
  <si>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</si>
  <si>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</si>
  <si>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5" type="noConversion"/>
  </si>
  <si>
    <t>华夏银行</t>
    <phoneticPr fontId="5" type="noConversion"/>
  </si>
  <si>
    <t>正常</t>
    <phoneticPr fontId="5" type="noConversion"/>
  </si>
  <si>
    <t>高限</t>
    <phoneticPr fontId="5" type="noConversion"/>
  </si>
  <si>
    <t>梁总</t>
    <phoneticPr fontId="5" type="noConversion"/>
  </si>
  <si>
    <t>净值</t>
    <phoneticPr fontId="5" type="noConversion"/>
  </si>
  <si>
    <t>康正</t>
    <phoneticPr fontId="5" type="noConversion"/>
  </si>
  <si>
    <t>一般</t>
    <phoneticPr fontId="26" type="noConversion"/>
  </si>
  <si>
    <t>建成</t>
    <phoneticPr fontId="33" type="noConversion"/>
  </si>
  <si>
    <t>办公</t>
    <phoneticPr fontId="33" type="noConversion"/>
  </si>
  <si>
    <t>商业繁华度</t>
    <phoneticPr fontId="33" type="noConversion"/>
  </si>
  <si>
    <t>一般</t>
    <phoneticPr fontId="33" type="noConversion"/>
  </si>
  <si>
    <t>较好</t>
    <phoneticPr fontId="33" type="noConversion"/>
  </si>
  <si>
    <t>标准写字楼</t>
    <phoneticPr fontId="33" type="noConversion"/>
  </si>
  <si>
    <t>钢混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</si>
  <si>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</si>
  <si>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</si>
  <si>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</si>
  <si>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</si>
  <si>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</si>
  <si>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</si>
  <si>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t>专业物业</t>
  </si>
  <si>
    <t>专业物业</t>
    <phoneticPr fontId="33" type="noConversion"/>
  </si>
  <si>
    <t>普通物业</t>
    <phoneticPr fontId="33" type="noConversion"/>
  </si>
  <si>
    <t>非标层高</t>
    <phoneticPr fontId="33" type="noConversion"/>
  </si>
  <si>
    <t>标准层高</t>
  </si>
  <si>
    <t>标准层高</t>
    <phoneticPr fontId="33" type="noConversion"/>
  </si>
  <si>
    <t>5-10</t>
    <phoneticPr fontId="33" type="noConversion"/>
  </si>
  <si>
    <t>30-35</t>
    <phoneticPr fontId="33" type="noConversion"/>
  </si>
  <si>
    <t>35-40</t>
    <phoneticPr fontId="33" type="noConversion"/>
  </si>
  <si>
    <t>40-50</t>
    <phoneticPr fontId="33" type="noConversion"/>
  </si>
  <si>
    <r>
      <rPr>
        <sz val="10"/>
        <color indexed="8"/>
        <rFont val="宋体"/>
        <family val="3"/>
        <charset val="134"/>
      </rPr>
      <t>净值不能低于这个数的</t>
    </r>
    <r>
      <rPr>
        <sz val="10"/>
        <color indexed="8"/>
        <rFont val="Arial"/>
        <family val="2"/>
      </rPr>
      <t xml:space="preserve">  576,923,076.93</t>
    </r>
    <phoneticPr fontId="10" type="noConversion"/>
  </si>
  <si>
    <t>自行开发建设</t>
  </si>
  <si>
    <r>
      <t>B1</t>
    </r>
    <r>
      <rPr>
        <sz val="11"/>
        <rFont val="宋体"/>
        <family val="3"/>
        <charset val="134"/>
      </rPr>
      <t>商业用地</t>
    </r>
    <phoneticPr fontId="32" type="noConversion"/>
  </si>
  <si>
    <r>
      <t>B4</t>
    </r>
    <r>
      <rPr>
        <sz val="11"/>
        <rFont val="宋体"/>
        <family val="3"/>
        <charset val="134"/>
      </rPr>
      <t>综合性商业金融服务业用地</t>
    </r>
    <phoneticPr fontId="32" type="noConversion"/>
  </si>
  <si>
    <r>
      <t>F3</t>
    </r>
    <r>
      <rPr>
        <sz val="11"/>
        <rFont val="宋体"/>
        <family val="3"/>
        <charset val="134"/>
      </rPr>
      <t>其他类多功能用地</t>
    </r>
    <phoneticPr fontId="32" type="noConversion"/>
  </si>
  <si>
    <t>B1商业用地</t>
  </si>
  <si>
    <t>B4综合性商业金融服务业用地</t>
  </si>
  <si>
    <t>报价</t>
  </si>
  <si>
    <t>报价</t>
    <phoneticPr fontId="33" type="noConversion"/>
  </si>
  <si>
    <t>剩余年限</t>
    <phoneticPr fontId="33" type="noConversion"/>
  </si>
  <si>
    <t>高速公路</t>
    <phoneticPr fontId="33" type="noConversion"/>
  </si>
  <si>
    <t>城市快速路</t>
  </si>
  <si>
    <t>城市快速路</t>
    <phoneticPr fontId="33" type="noConversion"/>
  </si>
  <si>
    <t>城市主干道</t>
  </si>
  <si>
    <t>城市主干道</t>
    <phoneticPr fontId="33" type="noConversion"/>
  </si>
  <si>
    <t>城市次干道</t>
    <phoneticPr fontId="33" type="noConversion"/>
  </si>
  <si>
    <t>高区</t>
  </si>
  <si>
    <t>高区</t>
    <phoneticPr fontId="33" type="noConversion"/>
  </si>
  <si>
    <t>中区</t>
  </si>
  <si>
    <t>中区</t>
    <phoneticPr fontId="33" type="noConversion"/>
  </si>
  <si>
    <t>低区</t>
  </si>
  <si>
    <t>低区</t>
    <phoneticPr fontId="33" type="noConversion"/>
  </si>
  <si>
    <t>2020-3</t>
    <phoneticPr fontId="32" type="noConversion"/>
  </si>
  <si>
    <t>2020-2</t>
    <phoneticPr fontId="32" type="noConversion"/>
  </si>
  <si>
    <t>2020-1</t>
    <phoneticPr fontId="32" type="noConversion"/>
  </si>
  <si>
    <t>40</t>
    <phoneticPr fontId="32" type="noConversion"/>
  </si>
  <si>
    <t>装修</t>
    <phoneticPr fontId="5" type="noConversion"/>
  </si>
  <si>
    <t>普通装修</t>
    <phoneticPr fontId="26" type="noConversion"/>
  </si>
  <si>
    <t>现房</t>
  </si>
  <si>
    <t>项目局部</t>
  </si>
  <si>
    <t>标准写字楼</t>
  </si>
  <si>
    <t>北京市海淀区西八里庄0711-652、640、641地块B4综合性商业金融服务业用地</t>
    <phoneticPr fontId="135" type="noConversion"/>
  </si>
  <si>
    <t>合计</t>
    <phoneticPr fontId="135" type="noConversion"/>
  </si>
  <si>
    <t>较差</t>
  </si>
  <si>
    <t>出让金+开发费</t>
  </si>
  <si>
    <t>北京金融科技中心</t>
    <phoneticPr fontId="135" type="noConversion"/>
  </si>
  <si>
    <t>A座</t>
    <phoneticPr fontId="135" type="noConversion"/>
  </si>
  <si>
    <t>商业</t>
    <phoneticPr fontId="135" type="noConversion"/>
  </si>
  <si>
    <t>1层</t>
    <phoneticPr fontId="135" type="noConversion"/>
  </si>
  <si>
    <t>2层</t>
    <phoneticPr fontId="135" type="noConversion"/>
  </si>
  <si>
    <t>3层</t>
    <phoneticPr fontId="135" type="noConversion"/>
  </si>
  <si>
    <t>商业</t>
    <phoneticPr fontId="135" type="noConversion"/>
  </si>
  <si>
    <t>4层</t>
    <phoneticPr fontId="135" type="noConversion"/>
  </si>
  <si>
    <t>5层</t>
    <phoneticPr fontId="135" type="noConversion"/>
  </si>
  <si>
    <t>B座</t>
    <phoneticPr fontId="135" type="noConversion"/>
  </si>
  <si>
    <t>1层</t>
    <phoneticPr fontId="135" type="noConversion"/>
  </si>
  <si>
    <t>商业</t>
    <phoneticPr fontId="135" type="noConversion"/>
  </si>
  <si>
    <t>2层</t>
  </si>
  <si>
    <t>3层</t>
  </si>
  <si>
    <t>4层</t>
  </si>
  <si>
    <t>5层</t>
  </si>
  <si>
    <t>6层</t>
  </si>
  <si>
    <t>办公</t>
    <phoneticPr fontId="135" type="noConversion"/>
  </si>
  <si>
    <t>7层</t>
  </si>
  <si>
    <t>8层</t>
  </si>
  <si>
    <t>9层</t>
  </si>
  <si>
    <t>10层</t>
  </si>
  <si>
    <t>11层</t>
  </si>
  <si>
    <t>12层</t>
  </si>
  <si>
    <t>13层</t>
  </si>
  <si>
    <t>14层</t>
  </si>
  <si>
    <t>15层</t>
  </si>
  <si>
    <t>16层</t>
  </si>
  <si>
    <t>17层</t>
  </si>
  <si>
    <t>18层</t>
  </si>
  <si>
    <t>19层</t>
    <phoneticPr fontId="135" type="noConversion"/>
  </si>
  <si>
    <t>合计</t>
    <phoneticPr fontId="135" type="noConversion"/>
  </si>
  <si>
    <t>地下1层</t>
    <phoneticPr fontId="135" type="noConversion"/>
  </si>
  <si>
    <t>商业</t>
    <phoneticPr fontId="135" type="noConversion"/>
  </si>
  <si>
    <t>地下2层</t>
    <phoneticPr fontId="135" type="noConversion"/>
  </si>
  <si>
    <t>车库</t>
    <phoneticPr fontId="135" type="noConversion"/>
  </si>
  <si>
    <t>地下3层</t>
    <phoneticPr fontId="135" type="noConversion"/>
  </si>
  <si>
    <t>合计</t>
    <phoneticPr fontId="135" type="noConversion"/>
  </si>
  <si>
    <t>总计</t>
    <phoneticPr fontId="135"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</si>
  <si>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</si>
  <si>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</si>
  <si>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</si>
  <si>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</si>
  <si>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</si>
  <si>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</si>
  <si>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</si>
  <si>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</si>
  <si>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</si>
  <si>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</si>
  <si>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</si>
  <si>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</si>
  <si>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</si>
  <si>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</si>
  <si>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</si>
  <si>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</si>
  <si>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</si>
  <si>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</si>
  <si>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</si>
  <si>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</si>
  <si>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</si>
  <si>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</si>
  <si>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</si>
  <si>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</si>
  <si>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</si>
  <si>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</si>
  <si>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9" type="noConversion"/>
  </si>
  <si>
    <t>地下车库</t>
  </si>
  <si>
    <t>地下车库</t>
    <phoneticPr fontId="9"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</si>
  <si>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</si>
  <si>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</si>
  <si>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</si>
  <si>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</si>
  <si>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</si>
  <si>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</si>
  <si>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</si>
  <si>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</si>
  <si>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</si>
  <si>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</si>
  <si>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</si>
  <si>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建安取值</t>
    <phoneticPr fontId="135" type="noConversion"/>
  </si>
  <si>
    <t>成新度</t>
    <phoneticPr fontId="135" type="noConversion"/>
  </si>
  <si>
    <t>直线折旧</t>
    <phoneticPr fontId="5" type="noConversion"/>
  </si>
  <si>
    <t>建成年代</t>
    <phoneticPr fontId="5" type="noConversion"/>
  </si>
  <si>
    <t>砖混</t>
    <phoneticPr fontId="5" type="noConversion"/>
  </si>
  <si>
    <t>钢混</t>
    <phoneticPr fontId="5" type="noConversion"/>
  </si>
  <si>
    <t>观察成新</t>
    <phoneticPr fontId="5" type="noConversion"/>
  </si>
  <si>
    <t>成新度</t>
    <phoneticPr fontId="5" type="noConversion"/>
  </si>
  <si>
    <t>商业租金</t>
    <phoneticPr fontId="5" type="noConversion"/>
  </si>
  <si>
    <t>楼层</t>
    <phoneticPr fontId="5" type="noConversion"/>
  </si>
  <si>
    <t>地下1层</t>
    <phoneticPr fontId="5" type="noConversion"/>
  </si>
  <si>
    <t>地下2层</t>
  </si>
  <si>
    <t>系数</t>
    <phoneticPr fontId="5" type="noConversion"/>
  </si>
  <si>
    <t>租金</t>
    <phoneticPr fontId="5" type="noConversion"/>
  </si>
  <si>
    <t>容积率修正</t>
  </si>
  <si>
    <t>基准地价修正办</t>
  </si>
  <si>
    <t>基准地价修正办</t>
    <phoneticPr fontId="18" type="noConversion"/>
  </si>
  <si>
    <t>收益法</t>
  </si>
  <si>
    <t>收益法办</t>
  </si>
  <si>
    <t>收益法办</t>
    <phoneticPr fontId="18" type="noConversion"/>
  </si>
  <si>
    <t>收益法车</t>
  </si>
  <si>
    <t>收益法车</t>
    <phoneticPr fontId="18" type="noConversion"/>
  </si>
  <si>
    <t>收益法（汇总）</t>
  </si>
  <si>
    <t>比较法-办公（大宗）</t>
  </si>
  <si>
    <t>比较法-办公（大宗）</t>
    <phoneticPr fontId="18" type="noConversion"/>
  </si>
  <si>
    <t>企业提供（在右侧录入）</t>
  </si>
  <si>
    <t>残值率</t>
    <phoneticPr fontId="5" type="noConversion"/>
  </si>
  <si>
    <t>一般</t>
    <phoneticPr fontId="135" type="noConversion"/>
  </si>
  <si>
    <t>商办综合</t>
  </si>
  <si>
    <t>地上</t>
    <phoneticPr fontId="9" type="noConversion"/>
  </si>
  <si>
    <t>地下商业</t>
    <phoneticPr fontId="9" type="noConversion"/>
  </si>
  <si>
    <t>地下车库</t>
    <phoneticPr fontId="9" type="noConversion"/>
  </si>
  <si>
    <t>西城区西直门外大街南路甲28号</t>
    <phoneticPr fontId="135"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</si>
  <si>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</si>
  <si>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</si>
  <si>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</si>
  <si>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</si>
  <si>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</si>
  <si>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</si>
  <si>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</si>
  <si>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</si>
  <si>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</si>
  <si>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</si>
  <si>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</si>
  <si>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</si>
  <si>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</si>
  <si>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</si>
  <si>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</si>
  <si>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</si>
  <si>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</si>
  <si>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</si>
  <si>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</si>
  <si>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</si>
  <si>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</si>
  <si>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</si>
  <si>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40-50</t>
    <phoneticPr fontId="135" type="noConversion"/>
  </si>
  <si>
    <t>地上</t>
    <phoneticPr fontId="135" type="noConversion"/>
  </si>
  <si>
    <t>地下</t>
    <phoneticPr fontId="135" type="noConversion"/>
  </si>
  <si>
    <t>总面积</t>
    <phoneticPr fontId="135" type="noConversion"/>
  </si>
  <si>
    <t>实际办公</t>
    <phoneticPr fontId="5" type="noConversion"/>
  </si>
  <si>
    <t>B座</t>
    <phoneticPr fontId="5" type="noConversion"/>
  </si>
  <si>
    <t>A座</t>
    <phoneticPr fontId="5" type="noConversion"/>
  </si>
  <si>
    <t>收益比率</t>
  </si>
  <si>
    <t>星巴克</t>
    <phoneticPr fontId="135" type="noConversion"/>
  </si>
  <si>
    <t>项目</t>
    <phoneticPr fontId="135" type="noConversion"/>
  </si>
  <si>
    <t>位置</t>
    <phoneticPr fontId="135" type="noConversion"/>
  </si>
  <si>
    <r>
      <t>1楼</t>
    </r>
    <r>
      <rPr>
        <sz val="11"/>
        <color theme="1"/>
        <rFont val="宋体"/>
        <family val="3"/>
        <charset val="134"/>
        <scheme val="minor"/>
      </rPr>
      <t>103</t>
    </r>
    <phoneticPr fontId="135" type="noConversion"/>
  </si>
  <si>
    <t>套内面积</t>
    <phoneticPr fontId="135" type="noConversion"/>
  </si>
  <si>
    <t>租期</t>
    <phoneticPr fontId="135" type="noConversion"/>
  </si>
  <si>
    <r>
      <t>6</t>
    </r>
    <r>
      <rPr>
        <sz val="11"/>
        <color theme="1"/>
        <rFont val="宋体"/>
        <family val="3"/>
        <charset val="134"/>
        <scheme val="minor"/>
      </rPr>
      <t>3个月</t>
    </r>
    <phoneticPr fontId="135" type="noConversion"/>
  </si>
  <si>
    <t>第1年</t>
    <phoneticPr fontId="135" type="noConversion"/>
  </si>
  <si>
    <t>第2年</t>
  </si>
  <si>
    <t>第3年</t>
  </si>
  <si>
    <t>第4年</t>
  </si>
  <si>
    <t>第5年</t>
  </si>
  <si>
    <t>物业费</t>
    <phoneticPr fontId="135" type="noConversion"/>
  </si>
  <si>
    <t>中国外贸</t>
    <phoneticPr fontId="135" type="noConversion"/>
  </si>
  <si>
    <r>
      <t>B座</t>
    </r>
    <r>
      <rPr>
        <sz val="11"/>
        <color theme="1"/>
        <rFont val="宋体"/>
        <family val="3"/>
        <charset val="134"/>
        <scheme val="minor"/>
      </rPr>
      <t>13-15层</t>
    </r>
    <phoneticPr fontId="135" type="noConversion"/>
  </si>
  <si>
    <r>
      <t>8</t>
    </r>
    <r>
      <rPr>
        <sz val="11"/>
        <color theme="1"/>
        <rFont val="宋体"/>
        <family val="3"/>
        <charset val="134"/>
        <scheme val="minor"/>
      </rPr>
      <t>1个月</t>
    </r>
    <phoneticPr fontId="135" type="noConversion"/>
  </si>
  <si>
    <t>情况3</t>
  </si>
  <si>
    <t>不动产权证证号</t>
  </si>
  <si>
    <t>坐落</t>
  </si>
  <si>
    <t>建筑面积</t>
  </si>
  <si>
    <t>房地产价值</t>
  </si>
  <si>
    <t>合计</t>
  </si>
  <si>
    <t>西城区西直门外大街南路甲28号1层等5套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</si>
  <si>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</si>
  <si>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</si>
  <si>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</si>
  <si>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</si>
  <si>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</si>
  <si>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</si>
  <si>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</si>
  <si>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</si>
  <si>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5" type="noConversion"/>
  </si>
  <si>
    <t>办公</t>
    <phoneticPr fontId="135" type="noConversion"/>
  </si>
  <si>
    <t>地下车库</t>
    <phoneticPr fontId="135" type="noConversion"/>
  </si>
  <si>
    <t>收益价值合计</t>
    <phoneticPr fontId="135" type="noConversion"/>
  </si>
  <si>
    <t>A座年收益</t>
    <phoneticPr fontId="5" type="noConversion"/>
  </si>
  <si>
    <t>B座年收益</t>
    <phoneticPr fontId="5" type="noConversion"/>
  </si>
  <si>
    <t>地下收益</t>
    <phoneticPr fontId="5" type="noConversion"/>
  </si>
  <si>
    <t>年收益</t>
    <phoneticPr fontId="5" type="noConversion"/>
  </si>
  <si>
    <t>收益法价值</t>
    <phoneticPr fontId="5" type="noConversion"/>
  </si>
  <si>
    <t>净值</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</si>
  <si>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</si>
  <si>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土地</t>
    <phoneticPr fontId="135" type="noConversion"/>
  </si>
  <si>
    <t>建筑物</t>
    <phoneticPr fontId="135" type="noConversion"/>
  </si>
  <si>
    <t>建筑物价值</t>
    <phoneticPr fontId="5" type="noConversion"/>
  </si>
  <si>
    <t>二级05</t>
    <phoneticPr fontId="135" type="noConversion"/>
  </si>
  <si>
    <t>办公</t>
    <phoneticPr fontId="135" type="noConversion"/>
  </si>
  <si>
    <t>商业</t>
    <phoneticPr fontId="135" type="noConversion"/>
  </si>
  <si>
    <t>地下1层</t>
    <phoneticPr fontId="135" type="noConversion"/>
  </si>
  <si>
    <t>车库</t>
    <phoneticPr fontId="135" type="noConversion"/>
  </si>
  <si>
    <t>地价系数</t>
    <phoneticPr fontId="135" type="noConversion"/>
  </si>
  <si>
    <t>土地拆分</t>
    <phoneticPr fontId="5" type="noConversion"/>
  </si>
  <si>
    <t>商业</t>
    <phoneticPr fontId="5" type="noConversion"/>
  </si>
  <si>
    <t>6层以上</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</si>
  <si>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</si>
  <si>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</si>
  <si>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</si>
  <si>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</si>
  <si>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</si>
  <si>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</si>
  <si>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</si>
  <si>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商业年收益</t>
    <phoneticPr fontId="135" type="noConversion"/>
  </si>
  <si>
    <t>地下商业</t>
    <phoneticPr fontId="5" type="noConversion"/>
  </si>
  <si>
    <t>等于重置成新价</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</si>
  <si>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</si>
  <si>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</si>
  <si>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商业部分土地价值按收益价值拆分后，加建筑物重置成新价计算房地价值</t>
    <phoneticPr fontId="135" type="noConversion"/>
  </si>
  <si>
    <t>净值</t>
    <phoneticPr fontId="135" type="noConversion"/>
  </si>
  <si>
    <t>合计</t>
    <phoneticPr fontId="135" type="noConversion"/>
  </si>
  <si>
    <t>商业</t>
    <phoneticPr fontId="135" type="noConversion"/>
  </si>
  <si>
    <t>办公及车库</t>
    <phoneticPr fontId="135" type="noConversion"/>
  </si>
  <si>
    <t>合计</t>
    <phoneticPr fontId="135" type="noConversion"/>
  </si>
  <si>
    <t>地上</t>
    <phoneticPr fontId="135" type="noConversion"/>
  </si>
  <si>
    <t>中电建科技创新产业园</t>
    <phoneticPr fontId="135" type="noConversion"/>
  </si>
  <si>
    <t>丽金智地中心</t>
    <phoneticPr fontId="135" type="noConversion"/>
  </si>
  <si>
    <t>差</t>
  </si>
  <si>
    <r>
      <rPr>
        <sz val="11"/>
        <color theme="9" tint="-0.249977111117893"/>
        <rFont val="宋体"/>
        <family val="3"/>
        <charset val="134"/>
      </rPr>
      <t>方恒时尚中心</t>
    </r>
    <r>
      <rPr>
        <sz val="11"/>
        <color theme="9" tint="-0.249977111117893"/>
        <rFont val="Arial"/>
        <family val="2"/>
      </rPr>
      <t>1#B1-F4</t>
    </r>
  </si>
  <si>
    <t>40-50</t>
  </si>
  <si>
    <t>25%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</si>
</sst>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1" tint="0.49998474074526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191" fontId="38" fillId="0" borderId="0"/>
    <xf numFmtId="191" fontId="38" fillId="0" borderId="0"/>
    <xf numFmtId="43" fontId="97" fillId="0" borderId="0" applyFont="0" applyFill="0" applyBorder="0" applyAlignment="0" applyProtection="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270" fillId="0" borderId="0"/>
    <xf numFmtId="191" fontId="97" fillId="0" borderId="0">
      <alignment vertical="center"/>
    </xf>
    <xf numFmtId="191" fontId="97" fillId="0" borderId="0">
      <alignment vertical="center"/>
    </xf>
    <xf numFmtId="191" fontId="97" fillId="0" borderId="0"/>
    <xf numFmtId="191" fontId="55" fillId="0" borderId="0"/>
    <xf numFmtId="191" fontId="97" fillId="0" borderId="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191" fontId="97" fillId="0" borderId="0"/>
    <xf numFmtId="0" fontId="2" fillId="0" borderId="0">
      <alignment vertical="center"/>
    </xf>
    <xf numFmtId="0" fontId="222" fillId="0" borderId="0"/>
    <xf numFmtId="0" fontId="272" fillId="0" borderId="0"/>
    <xf numFmtId="0" fontId="97" fillId="0" borderId="0">
      <alignment vertical="center"/>
    </xf>
    <xf numFmtId="0" fontId="222" fillId="0" borderId="0"/>
    <xf numFmtId="43" fontId="275" fillId="0" borderId="0" applyFont="0" applyFill="0" applyBorder="0" applyAlignment="0" applyProtection="0">
      <alignment vertical="center"/>
    </xf>
    <xf numFmtId="0" fontId="160" fillId="0" borderId="0"/>
    <xf numFmtId="0" fontId="1" fillId="0" borderId="0">
      <alignment vertical="center"/>
    </xf>
  </cellStyleXfs>
  <cellXfs count="395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4"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49" fontId="53" fillId="0" borderId="44" xfId="0" applyNumberFormat="1" applyFont="1" applyFill="1" applyBorder="1" applyAlignment="1" applyProtection="1">
      <alignment horizontal="center" vertical="center" wrapText="1"/>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46" fillId="6" borderId="1" xfId="0" applyNumberFormat="1" applyFont="1" applyFill="1" applyBorder="1" applyAlignment="1" applyProtection="1">
      <alignment horizontal="center" vertical="center" wrapText="1"/>
      <protection locked="0"/>
    </xf>
    <xf numFmtId="49" fontId="96" fillId="0" borderId="35" xfId="0" applyNumberFormat="1"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2" fillId="3" borderId="0" xfId="0" applyFont="1" applyFill="1" applyAlignment="1" applyProtection="1">
      <alignment vertical="center"/>
      <protection locked="0"/>
    </xf>
    <xf numFmtId="14" fontId="0" fillId="0" borderId="0" xfId="0" applyNumberFormat="1">
      <alignment vertical="center"/>
    </xf>
    <xf numFmtId="0" fontId="79" fillId="7" borderId="7" xfId="0" applyNumberFormat="1" applyFont="1" applyFill="1" applyBorder="1" applyAlignment="1" applyProtection="1">
      <alignment horizontal="left" vertical="center"/>
      <protection locked="0"/>
    </xf>
    <xf numFmtId="0" fontId="79" fillId="7" borderId="2" xfId="0" applyNumberFormat="1" applyFont="1" applyFill="1" applyBorder="1" applyAlignment="1" applyProtection="1">
      <alignment horizontal="left" vertical="center"/>
      <protection locked="0"/>
    </xf>
    <xf numFmtId="0" fontId="49" fillId="7" borderId="0" xfId="0" applyNumberFormat="1" applyFont="1" applyFill="1" applyProtection="1">
      <alignment vertical="center"/>
      <protection locked="0"/>
    </xf>
    <xf numFmtId="0" fontId="79" fillId="7" borderId="3" xfId="0" applyNumberFormat="1" applyFont="1" applyFill="1" applyBorder="1" applyAlignment="1" applyProtection="1">
      <alignment horizontal="left" vertical="center"/>
      <protection locked="0"/>
    </xf>
    <xf numFmtId="0" fontId="79" fillId="7" borderId="1" xfId="0" applyNumberFormat="1" applyFont="1" applyFill="1" applyBorder="1" applyAlignment="1" applyProtection="1">
      <alignment horizontal="left" vertical="center"/>
      <protection locked="0"/>
    </xf>
    <xf numFmtId="0" fontId="49" fillId="7" borderId="3" xfId="0" applyNumberFormat="1" applyFont="1" applyFill="1" applyBorder="1" applyAlignment="1" applyProtection="1">
      <alignment horizontal="left" vertical="center"/>
      <protection locked="0"/>
    </xf>
    <xf numFmtId="0" fontId="49" fillId="7" borderId="1" xfId="0" applyNumberFormat="1" applyFont="1" applyFill="1" applyBorder="1" applyAlignment="1" applyProtection="1">
      <alignment horizontal="left" vertical="center"/>
      <protection locked="0"/>
    </xf>
    <xf numFmtId="0" fontId="49" fillId="7" borderId="35" xfId="0" applyNumberFormat="1" applyFont="1" applyFill="1" applyBorder="1" applyAlignment="1" applyProtection="1">
      <alignment horizontal="left" vertical="center"/>
      <protection locked="0"/>
    </xf>
    <xf numFmtId="0" fontId="49" fillId="7" borderId="15" xfId="0" applyNumberFormat="1" applyFont="1" applyFill="1" applyBorder="1" applyAlignment="1" applyProtection="1">
      <alignment horizontal="left" vertical="center"/>
      <protection locked="0"/>
    </xf>
    <xf numFmtId="0" fontId="79" fillId="7" borderId="0" xfId="0" applyNumberFormat="1" applyFont="1" applyFill="1" applyProtection="1">
      <alignment vertical="center"/>
      <protection locked="0"/>
    </xf>
    <xf numFmtId="0" fontId="49" fillId="7" borderId="0" xfId="0" applyNumberFormat="1" applyFont="1" applyFill="1" applyAlignment="1" applyProtection="1">
      <alignment horizontal="right" vertical="center"/>
      <protection locked="0"/>
    </xf>
    <xf numFmtId="0" fontId="79" fillId="7" borderId="0" xfId="0" applyNumberFormat="1" applyFont="1" applyFill="1" applyAlignment="1" applyProtection="1">
      <alignment horizontal="right" vertical="center"/>
      <protection locked="0"/>
    </xf>
    <xf numFmtId="0" fontId="81" fillId="7" borderId="0" xfId="0" applyNumberFormat="1" applyFont="1" applyFill="1" applyAlignment="1" applyProtection="1">
      <alignment horizontal="right" vertical="center"/>
      <protection locked="0"/>
    </xf>
    <xf numFmtId="0" fontId="54" fillId="7" borderId="0" xfId="0" applyNumberFormat="1" applyFont="1" applyFill="1" applyAlignment="1" applyProtection="1">
      <alignment horizontal="right" vertical="center"/>
      <protection locked="0"/>
    </xf>
    <xf numFmtId="0" fontId="129" fillId="0" borderId="46" xfId="0" applyFont="1" applyFill="1" applyBorder="1" applyAlignment="1" applyProtection="1">
      <alignment horizontal="center" vertical="center" wrapText="1"/>
      <protection locked="0"/>
    </xf>
    <xf numFmtId="0" fontId="129" fillId="0" borderId="24"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49" fillId="24" borderId="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97"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5" borderId="24"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1" fillId="0" borderId="0" xfId="0" applyNumberFormat="1" applyFont="1" applyAlignment="1" applyProtection="1">
      <alignment horizontal="left" vertical="center"/>
    </xf>
    <xf numFmtId="0" fontId="55" fillId="6" borderId="3" xfId="8" applyFont="1" applyFill="1" applyBorder="1" applyAlignment="1" applyProtection="1">
      <alignment horizontal="center" vertical="center" wrapText="1"/>
      <protection locked="0"/>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273" fillId="0" borderId="0" xfId="12" applyFont="1"/>
    <xf numFmtId="0" fontId="273" fillId="0" borderId="0" xfId="12" applyFont="1" applyAlignment="1">
      <alignment vertical="center"/>
    </xf>
    <xf numFmtId="0" fontId="273" fillId="0" borderId="1" xfId="12" applyFont="1" applyBorder="1" applyAlignment="1">
      <alignment horizontal="left" vertical="center"/>
    </xf>
    <xf numFmtId="0" fontId="273" fillId="0" borderId="0" xfId="12" applyFont="1" applyAlignment="1">
      <alignment horizontal="left" vertical="center"/>
    </xf>
    <xf numFmtId="0" fontId="273" fillId="0" borderId="0" xfId="12" applyFont="1" applyAlignment="1">
      <alignment horizontal="left"/>
    </xf>
    <xf numFmtId="0" fontId="274" fillId="0" borderId="0" xfId="12" applyFont="1" applyAlignment="1">
      <alignment horizontal="left" vertical="center"/>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79" fillId="0" borderId="1" xfId="0" applyFont="1" applyBorder="1" applyAlignment="1" applyProtection="1">
      <alignment horizontal="lef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9" fontId="49" fillId="12" borderId="1" xfId="0" applyNumberFormat="1"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9" fontId="49" fillId="12" borderId="1" xfId="17" applyFont="1" applyFill="1" applyBorder="1" applyAlignment="1" applyProtection="1">
      <alignment horizontal="left" vertical="center"/>
      <protection locked="0"/>
    </xf>
    <xf numFmtId="181" fontId="49" fillId="12" borderId="1" xfId="17" applyNumberFormat="1" applyFont="1" applyFill="1" applyBorder="1" applyAlignment="1" applyProtection="1">
      <alignment horizontal="left" vertical="center"/>
      <protection locked="0"/>
    </xf>
    <xf numFmtId="176" fontId="79" fillId="12" borderId="1" xfId="0" applyNumberFormat="1" applyFont="1" applyFill="1" applyBorder="1" applyAlignment="1" applyProtection="1">
      <alignment horizontal="left" vertical="center"/>
      <protection locked="0"/>
    </xf>
    <xf numFmtId="0" fontId="60" fillId="0" borderId="1" xfId="8" applyFont="1" applyFill="1" applyBorder="1" applyAlignment="1" applyProtection="1">
      <alignment horizontal="left" vertical="center" wrapText="1"/>
    </xf>
    <xf numFmtId="0" fontId="60" fillId="0" borderId="1" xfId="8" applyFont="1" applyFill="1" applyBorder="1" applyAlignment="1" applyProtection="1">
      <alignment horizontal="left" vertical="center" wrapText="1"/>
      <protection locked="0"/>
    </xf>
    <xf numFmtId="196" fontId="49" fillId="12" borderId="1" xfId="0" applyNumberFormat="1" applyFont="1" applyFill="1" applyBorder="1" applyAlignment="1" applyProtection="1">
      <alignment horizontal="left" vertical="center"/>
      <protection locked="0"/>
    </xf>
    <xf numFmtId="179" fontId="46" fillId="0" borderId="0" xfId="0" applyNumberFormat="1" applyFont="1" applyProtection="1">
      <alignment vertical="center"/>
      <protection locked="0"/>
    </xf>
    <xf numFmtId="1" fontId="46" fillId="0" borderId="0" xfId="49" applyNumberFormat="1" applyFont="1" applyProtection="1">
      <alignment vertical="center"/>
      <protection locked="0"/>
    </xf>
    <xf numFmtId="10" fontId="46" fillId="0" borderId="41" xfId="17" applyNumberFormat="1" applyFont="1" applyFill="1" applyBorder="1" applyAlignment="1" applyProtection="1">
      <alignment horizontal="center" vertical="center" wrapText="1"/>
      <protection locked="0"/>
    </xf>
    <xf numFmtId="10" fontId="46" fillId="0" borderId="37" xfId="17"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97" fillId="0" borderId="0" xfId="47">
      <alignment vertical="center"/>
    </xf>
    <xf numFmtId="0" fontId="97" fillId="9" borderId="0" xfId="47" applyFill="1">
      <alignment vertical="center"/>
    </xf>
    <xf numFmtId="0" fontId="97" fillId="0" borderId="0" xfId="47" applyAlignment="1">
      <alignment vertical="center" wrapText="1"/>
    </xf>
    <xf numFmtId="0" fontId="97" fillId="0" borderId="0" xfId="47" applyFont="1">
      <alignment vertical="center"/>
    </xf>
    <xf numFmtId="31" fontId="21" fillId="22" borderId="176" xfId="47" applyNumberFormat="1" applyFont="1" applyFill="1" applyBorder="1" applyAlignment="1">
      <alignment vertical="center" wrapText="1"/>
    </xf>
    <xf numFmtId="0" fontId="97" fillId="9" borderId="0" xfId="47" applyFont="1" applyFill="1">
      <alignment vertical="center"/>
    </xf>
    <xf numFmtId="31" fontId="21" fillId="9" borderId="176" xfId="47" applyNumberFormat="1" applyFont="1" applyFill="1" applyBorder="1" applyAlignment="1">
      <alignment vertical="center" wrapText="1"/>
    </xf>
    <xf numFmtId="0" fontId="97" fillId="9" borderId="0" xfId="47" applyFill="1" applyAlignment="1">
      <alignment vertical="center" wrapText="1"/>
    </xf>
    <xf numFmtId="31" fontId="271" fillId="23" borderId="176" xfId="47" applyNumberFormat="1" applyFont="1" applyFill="1" applyBorder="1" applyAlignment="1">
      <alignment vertical="center" wrapText="1"/>
    </xf>
    <xf numFmtId="31" fontId="130" fillId="22" borderId="176" xfId="47" applyNumberFormat="1" applyFont="1" applyFill="1" applyBorder="1" applyAlignment="1">
      <alignment vertical="center" wrapText="1"/>
    </xf>
    <xf numFmtId="31" fontId="130" fillId="5" borderId="176" xfId="47" applyNumberFormat="1" applyFont="1" applyFill="1" applyBorder="1" applyAlignment="1">
      <alignment vertical="center" wrapText="1"/>
    </xf>
    <xf numFmtId="31" fontId="271" fillId="9" borderId="176" xfId="47" applyNumberFormat="1" applyFont="1" applyFill="1" applyBorder="1" applyAlignment="1">
      <alignment vertical="center" wrapText="1"/>
    </xf>
    <xf numFmtId="0" fontId="96" fillId="0" borderId="0" xfId="0" applyFont="1" applyFill="1" applyAlignment="1" applyProtection="1">
      <alignment horizontal="center" vertical="center"/>
      <protection locked="0"/>
    </xf>
    <xf numFmtId="181" fontId="46" fillId="0" borderId="41" xfId="17" applyNumberFormat="1" applyFont="1" applyFill="1" applyBorder="1" applyAlignment="1" applyProtection="1">
      <alignment horizontal="center" vertical="center" wrapText="1"/>
      <protection locked="0"/>
    </xf>
    <xf numFmtId="9" fontId="53" fillId="0" borderId="0" xfId="17" applyFont="1" applyFill="1" applyAlignment="1" applyProtection="1">
      <alignment horizontal="center" vertical="center"/>
      <protection locked="0"/>
    </xf>
    <xf numFmtId="10" fontId="53" fillId="0" borderId="0" xfId="17" applyNumberFormat="1" applyFont="1" applyFill="1" applyAlignment="1" applyProtection="1">
      <alignment horizontal="center" vertical="center"/>
      <protection locked="0"/>
    </xf>
    <xf numFmtId="9" fontId="46" fillId="0" borderId="44" xfId="0" applyNumberFormat="1" applyFont="1" applyFill="1" applyBorder="1" applyAlignment="1" applyProtection="1">
      <alignment horizontal="center" vertical="center" wrapText="1"/>
      <protection locked="0"/>
    </xf>
    <xf numFmtId="177" fontId="49"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7" fillId="0" borderId="0" xfId="0" applyFont="1" applyAlignment="1">
      <alignment horizontal="left" vertical="center"/>
    </xf>
    <xf numFmtId="2" fontId="0" fillId="0" borderId="0" xfId="0" applyNumberFormat="1" applyAlignment="1">
      <alignment horizontal="left" vertical="center"/>
    </xf>
    <xf numFmtId="0" fontId="265" fillId="0" borderId="177" xfId="0" applyFont="1" applyBorder="1" applyAlignment="1">
      <alignment horizontal="justify" vertical="center"/>
    </xf>
    <xf numFmtId="0" fontId="265" fillId="0" borderId="178" xfId="0" applyFont="1" applyBorder="1" applyAlignment="1">
      <alignment horizontal="justify" vertical="center"/>
    </xf>
    <xf numFmtId="196" fontId="0" fillId="0" borderId="0" xfId="0" applyNumberFormat="1" applyAlignment="1">
      <alignment horizontal="left" vertical="center"/>
    </xf>
    <xf numFmtId="0" fontId="267" fillId="0" borderId="179" xfId="0" applyFont="1" applyFill="1" applyBorder="1" applyAlignment="1">
      <alignment horizontal="justify" vertical="center"/>
    </xf>
    <xf numFmtId="0" fontId="265" fillId="0" borderId="180" xfId="0" applyFont="1" applyFill="1" applyBorder="1" applyAlignment="1">
      <alignment horizontal="justify" vertical="center"/>
    </xf>
    <xf numFmtId="0" fontId="267" fillId="0" borderId="180" xfId="0" applyFont="1" applyFill="1" applyBorder="1">
      <alignment vertical="center"/>
    </xf>
    <xf numFmtId="0" fontId="267" fillId="0" borderId="181" xfId="0" applyFont="1" applyFill="1" applyBorder="1">
      <alignment vertical="center"/>
    </xf>
    <xf numFmtId="0" fontId="273" fillId="0" borderId="1" xfId="12" applyFont="1" applyBorder="1"/>
    <xf numFmtId="0" fontId="273" fillId="18" borderId="0" xfId="12" applyFont="1" applyFill="1"/>
    <xf numFmtId="0" fontId="54" fillId="18" borderId="2" xfId="0" applyFont="1" applyFill="1" applyBorder="1" applyAlignment="1" applyProtection="1">
      <alignment horizontal="left" vertical="center"/>
      <protection locked="0"/>
    </xf>
    <xf numFmtId="0" fontId="273" fillId="25" borderId="0" xfId="12" applyFont="1" applyFill="1"/>
    <xf numFmtId="0" fontId="273" fillId="13" borderId="1" xfId="12" applyFont="1" applyFill="1" applyBorder="1"/>
    <xf numFmtId="0" fontId="277" fillId="0" borderId="0" xfId="12" applyFont="1"/>
    <xf numFmtId="0" fontId="273" fillId="0" borderId="1" xfId="12" applyFont="1" applyFill="1" applyBorder="1"/>
    <xf numFmtId="0" fontId="274" fillId="0" borderId="1" xfId="12" applyFont="1" applyFill="1" applyBorder="1"/>
    <xf numFmtId="0" fontId="273" fillId="0" borderId="6" xfId="12" applyFont="1" applyFill="1" applyBorder="1"/>
    <xf numFmtId="0" fontId="273" fillId="0" borderId="9" xfId="12" applyFont="1" applyFill="1" applyBorder="1"/>
    <xf numFmtId="0" fontId="273" fillId="0" borderId="10" xfId="12" applyFont="1" applyFill="1" applyBorder="1"/>
    <xf numFmtId="0" fontId="273" fillId="0" borderId="23" xfId="12" applyFont="1" applyFill="1" applyBorder="1"/>
    <xf numFmtId="0" fontId="273" fillId="0" borderId="24" xfId="12" applyFont="1" applyFill="1" applyBorder="1"/>
    <xf numFmtId="0" fontId="274" fillId="0" borderId="24" xfId="12" applyFont="1" applyFill="1" applyBorder="1"/>
    <xf numFmtId="0" fontId="273" fillId="0" borderId="25" xfId="12" applyFont="1" applyFill="1" applyBorder="1"/>
    <xf numFmtId="0" fontId="273" fillId="0" borderId="32" xfId="12" applyFont="1" applyFill="1" applyBorder="1"/>
    <xf numFmtId="0" fontId="273" fillId="0" borderId="49" xfId="12" applyFont="1" applyFill="1" applyBorder="1"/>
    <xf numFmtId="9" fontId="49" fillId="12" borderId="1" xfId="17"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5" fillId="0" borderId="182" xfId="0" applyFont="1" applyFill="1" applyBorder="1" applyAlignment="1">
      <alignment horizontal="justify" vertical="center"/>
    </xf>
    <xf numFmtId="0" fontId="265" fillId="0" borderId="183" xfId="0" applyFont="1" applyFill="1" applyBorder="1" applyAlignment="1">
      <alignment horizontal="justify" vertical="center"/>
    </xf>
    <xf numFmtId="0" fontId="265" fillId="0" borderId="184" xfId="0" applyFont="1" applyFill="1" applyBorder="1" applyAlignment="1">
      <alignment horizontal="justify"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09"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67" fillId="0" borderId="24" xfId="47" applyFont="1" applyFill="1" applyBorder="1" applyAlignment="1" applyProtection="1">
      <alignment horizontal="center" vertical="center" wrapText="1"/>
      <protection locked="0"/>
    </xf>
    <xf numFmtId="0" fontId="167" fillId="0" borderId="23" xfId="47" applyFont="1" applyFill="1" applyBorder="1" applyAlignment="1" applyProtection="1">
      <alignment horizontal="center" vertical="center" wrapText="1"/>
      <protection locked="0"/>
    </xf>
    <xf numFmtId="183" fontId="46" fillId="0" borderId="70" xfId="47" applyNumberFormat="1" applyFont="1" applyFill="1" applyBorder="1" applyAlignment="1" applyProtection="1">
      <alignment horizontal="center" vertical="center" wrapText="1"/>
      <protection locked="0"/>
    </xf>
    <xf numFmtId="49" fontId="46" fillId="2" borderId="26" xfId="47" applyNumberFormat="1" applyFont="1" applyFill="1" applyBorder="1" applyAlignment="1" applyProtection="1">
      <alignment horizontal="center" vertical="center" wrapText="1"/>
      <protection locked="0"/>
    </xf>
    <xf numFmtId="49" fontId="46" fillId="2" borderId="6" xfId="47" applyNumberFormat="1" applyFont="1" applyFill="1" applyBorder="1" applyAlignment="1" applyProtection="1">
      <alignment horizontal="center" vertical="center" wrapText="1"/>
      <protection locked="0"/>
    </xf>
    <xf numFmtId="0" fontId="46" fillId="0" borderId="23" xfId="47" applyNumberFormat="1" applyFont="1" applyFill="1" applyBorder="1" applyAlignment="1" applyProtection="1">
      <alignment horizontal="center" vertical="center" wrapText="1"/>
      <protection locked="0"/>
    </xf>
    <xf numFmtId="0" fontId="46" fillId="0" borderId="41" xfId="47" applyNumberFormat="1" applyFont="1" applyFill="1" applyBorder="1" applyAlignment="1" applyProtection="1">
      <alignment horizontal="center" vertical="center" wrapText="1"/>
      <protection locked="0"/>
    </xf>
    <xf numFmtId="0" fontId="53" fillId="0" borderId="37" xfId="47" applyNumberFormat="1" applyFont="1" applyFill="1" applyBorder="1" applyAlignment="1" applyProtection="1">
      <alignment horizontal="center" vertical="center" wrapText="1"/>
      <protection locked="0"/>
    </xf>
    <xf numFmtId="0" fontId="53" fillId="2" borderId="41" xfId="47" applyNumberFormat="1" applyFont="1" applyFill="1" applyBorder="1" applyAlignment="1" applyProtection="1">
      <alignment horizontal="center" vertical="center" wrapText="1"/>
      <protection locked="0"/>
    </xf>
    <xf numFmtId="49" fontId="53" fillId="0" borderId="14" xfId="47" applyNumberFormat="1" applyFont="1" applyFill="1" applyBorder="1" applyAlignment="1" applyProtection="1">
      <alignment horizontal="center" vertical="center" wrapText="1"/>
      <protection locked="0"/>
    </xf>
    <xf numFmtId="49" fontId="53" fillId="0" borderId="11" xfId="47" applyNumberFormat="1" applyFont="1" applyFill="1" applyBorder="1" applyAlignment="1" applyProtection="1">
      <alignment horizontal="center" vertical="center" wrapText="1"/>
      <protection locked="0"/>
    </xf>
    <xf numFmtId="0" fontId="53" fillId="2" borderId="23" xfId="47" applyNumberFormat="1" applyFont="1" applyFill="1" applyBorder="1" applyAlignment="1" applyProtection="1">
      <alignment horizontal="center" vertical="center" wrapText="1"/>
      <protection locked="0"/>
    </xf>
    <xf numFmtId="9" fontId="46" fillId="0" borderId="37" xfId="47" applyNumberFormat="1" applyFont="1" applyFill="1" applyBorder="1" applyAlignment="1" applyProtection="1">
      <alignment horizontal="center" vertical="center" wrapText="1"/>
      <protection locked="0"/>
    </xf>
    <xf numFmtId="0" fontId="53" fillId="2" borderId="37" xfId="47" applyNumberFormat="1" applyFont="1" applyFill="1" applyBorder="1" applyAlignment="1" applyProtection="1">
      <alignment horizontal="center" vertical="center" wrapText="1"/>
      <protection locked="0"/>
    </xf>
    <xf numFmtId="0" fontId="72" fillId="3" borderId="20" xfId="47" applyNumberFormat="1" applyFont="1" applyFill="1" applyBorder="1" applyAlignment="1" applyProtection="1">
      <alignment vertical="center" wrapText="1"/>
      <protection locked="0"/>
    </xf>
    <xf numFmtId="49" fontId="53" fillId="2" borderId="41" xfId="47" applyNumberFormat="1" applyFont="1" applyFill="1" applyBorder="1" applyAlignment="1" applyProtection="1">
      <alignment horizontal="center" vertical="center" wrapText="1"/>
      <protection locked="0"/>
    </xf>
    <xf numFmtId="0" fontId="53" fillId="2" borderId="7" xfId="47" applyNumberFormat="1" applyFont="1" applyFill="1" applyBorder="1" applyAlignment="1" applyProtection="1">
      <alignment horizontal="center" vertical="center" wrapText="1"/>
      <protection locked="0"/>
    </xf>
    <xf numFmtId="0" fontId="46" fillId="2" borderId="41" xfId="47" applyNumberFormat="1" applyFont="1" applyFill="1" applyBorder="1" applyAlignment="1" applyProtection="1">
      <alignment horizontal="center" vertical="center" wrapText="1"/>
      <protection locked="0"/>
    </xf>
    <xf numFmtId="0" fontId="53" fillId="2" borderId="35" xfId="47" applyNumberFormat="1" applyFont="1" applyFill="1" applyBorder="1" applyAlignment="1" applyProtection="1">
      <alignment horizontal="center" vertical="center" wrapText="1"/>
      <protection locked="0"/>
    </xf>
    <xf numFmtId="0" fontId="53" fillId="2" borderId="6" xfId="47" applyNumberFormat="1" applyFont="1" applyFill="1" applyBorder="1" applyAlignment="1" applyProtection="1">
      <alignment horizontal="center" vertical="center" wrapText="1"/>
      <protection locked="0"/>
    </xf>
    <xf numFmtId="176" fontId="46" fillId="0" borderId="23" xfId="47" applyNumberFormat="1" applyFont="1" applyFill="1" applyBorder="1" applyAlignment="1" applyProtection="1">
      <alignment horizontal="center" vertical="center" wrapText="1"/>
      <protection locked="0"/>
    </xf>
    <xf numFmtId="0" fontId="129" fillId="0" borderId="41" xfId="47" applyNumberFormat="1" applyFont="1" applyFill="1" applyBorder="1" applyAlignment="1" applyProtection="1">
      <alignment horizontal="center" vertical="center" wrapText="1"/>
      <protection locked="0"/>
    </xf>
    <xf numFmtId="10" fontId="46" fillId="0" borderId="41" xfId="22" applyNumberFormat="1" applyFont="1" applyFill="1" applyBorder="1" applyAlignment="1" applyProtection="1">
      <alignment horizontal="center" vertical="center" wrapText="1"/>
      <protection locked="0"/>
    </xf>
    <xf numFmtId="49" fontId="96" fillId="0" borderId="40" xfId="47" applyNumberFormat="1" applyFont="1" applyFill="1" applyBorder="1" applyAlignment="1" applyProtection="1">
      <alignment horizontal="center" vertical="center" wrapText="1"/>
      <protection locked="0"/>
    </xf>
    <xf numFmtId="0" fontId="53" fillId="0" borderId="78" xfId="47" applyNumberFormat="1" applyFont="1" applyFill="1" applyBorder="1" applyAlignment="1" applyProtection="1">
      <alignment horizontal="center" vertical="center" wrapText="1"/>
      <protection locked="0"/>
    </xf>
    <xf numFmtId="0" fontId="46" fillId="0" borderId="78" xfId="47" applyNumberFormat="1" applyFont="1" applyFill="1" applyBorder="1" applyAlignment="1" applyProtection="1">
      <alignment horizontal="center" vertical="center" wrapText="1"/>
      <protection locked="0"/>
    </xf>
    <xf numFmtId="49" fontId="46" fillId="0" borderId="44" xfId="47" applyNumberFormat="1" applyFont="1" applyFill="1" applyBorder="1" applyAlignment="1" applyProtection="1">
      <alignment horizontal="center" vertical="center" wrapText="1"/>
      <protection locked="0"/>
    </xf>
    <xf numFmtId="9" fontId="46" fillId="0" borderId="44" xfId="47" applyNumberFormat="1" applyFont="1" applyFill="1" applyBorder="1" applyAlignment="1" applyProtection="1">
      <alignment horizontal="center" vertical="center" wrapText="1"/>
      <protection locked="0"/>
    </xf>
  </cellXfs>
  <cellStyles count="52">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4 2" xfId="51"/>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2024年7月18日</v>
      </c>
    </row>
    <row r="13" spans="1:2" s="1198" customFormat="1">
      <c r="A13" s="1196" t="s">
        <v>529</v>
      </c>
      <c r="B13" s="1197"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571879</v>
      </c>
    </row>
    <row r="21" spans="1:2" s="1198" customFormat="1">
      <c r="A21" s="1196" t="s">
        <v>537</v>
      </c>
      <c r="B21" s="1197">
        <f ca="1">'预评函-2'!D7</f>
        <v>67780</v>
      </c>
    </row>
    <row r="22" spans="1:2" s="1198" customFormat="1">
      <c r="A22" s="1196" t="s">
        <v>538</v>
      </c>
      <c r="B22" s="1197" t="str">
        <f ca="1">'预评函-2'!D6</f>
        <v>伍拾柒亿壹仟捌佰柒拾玖万元整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571879</v>
      </c>
    </row>
    <row r="31" spans="1:2" s="1198" customFormat="1">
      <c r="A31" s="1196" t="s">
        <v>576</v>
      </c>
      <c r="B31" s="1197">
        <f ca="1">'预评函-2'!D15</f>
        <v>67780</v>
      </c>
    </row>
    <row r="32" spans="1:2" s="1198" customFormat="1">
      <c r="A32" s="1196" t="s">
        <v>543</v>
      </c>
      <c r="B32" s="1197" t="str">
        <f ca="1">'预评函-2'!D14</f>
        <v>伍拾柒亿壹仟捌佰柒拾玖万元整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513861</v>
      </c>
    </row>
    <row r="39" spans="1:2" s="1198" customFormat="1">
      <c r="A39" s="1196" t="s">
        <v>545</v>
      </c>
      <c r="B39" s="1197">
        <f ca="1">'预评函-2'!D21</f>
        <v>60903</v>
      </c>
    </row>
    <row r="40" spans="1:2" s="1198" customFormat="1">
      <c r="A40" s="1196" t="s">
        <v>546</v>
      </c>
      <c r="B40" s="1197" t="str">
        <f ca="1">'预评函-2'!D20</f>
        <v>伍拾壹亿叁仟捌佰陆拾壹万元整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475803</v>
      </c>
    </row>
    <row r="48" spans="1:2" s="1198" customFormat="1">
      <c r="A48" s="1196" t="s">
        <v>549</v>
      </c>
      <c r="B48" s="1197">
        <f ca="1">'预评函-3'!E4</f>
        <v>56393</v>
      </c>
    </row>
    <row r="49" spans="1:2" s="1198" customFormat="1">
      <c r="A49" s="1196" t="s">
        <v>550</v>
      </c>
      <c r="B49" s="1197" t="str">
        <f ca="1">'预评函-3'!D5</f>
        <v>肆拾柒亿伍仟捌佰零叁万元整</v>
      </c>
    </row>
    <row r="50" spans="1:2" s="1198" customFormat="1">
      <c r="A50" s="1196" t="s">
        <v>574</v>
      </c>
      <c r="B50" s="1197" t="str">
        <f>'预评函-3'!F2</f>
        <v>在建建筑物价值</v>
      </c>
    </row>
    <row r="51" spans="1:2" s="1198" customFormat="1">
      <c r="A51" s="1196" t="s">
        <v>551</v>
      </c>
      <c r="B51" s="1197">
        <f ca="1">'预评函-3'!F4</f>
        <v>96076</v>
      </c>
    </row>
    <row r="52" spans="1:2" s="1198" customFormat="1">
      <c r="A52" s="1196" t="s">
        <v>552</v>
      </c>
      <c r="B52" s="1197">
        <f ca="1">'预评函-3'!G4</f>
        <v>11387</v>
      </c>
    </row>
    <row r="53" spans="1:2" s="1198" customFormat="1">
      <c r="A53" s="1196" t="s">
        <v>580</v>
      </c>
      <c r="B53" s="1197" t="str">
        <f ca="1">'预评函-3'!F5</f>
        <v>玖亿陆仟零柒拾陆万元整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2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5"/>
      <c r="B54" s="1549" t="s">
        <v>385</v>
      </c>
      <c r="C54" s="1546" t="s">
        <v>583</v>
      </c>
    </row>
    <row r="55" spans="1:4">
      <c r="A55" s="3625"/>
      <c r="B55" s="1549" t="s">
        <v>386</v>
      </c>
      <c r="C55" s="1546" t="s">
        <v>584</v>
      </c>
    </row>
    <row r="56" spans="1:4">
      <c r="A56" s="3625"/>
      <c r="B56" s="1549" t="s">
        <v>387</v>
      </c>
      <c r="C56" s="1546" t="s">
        <v>588</v>
      </c>
    </row>
    <row r="57" spans="1:4">
      <c r="A57" s="362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26" t="s">
        <v>2562</v>
      </c>
      <c r="J2" s="3626"/>
      <c r="K2" s="3626"/>
      <c r="L2" s="3626"/>
      <c r="M2" s="3626"/>
      <c r="N2" s="3626"/>
      <c r="O2" s="3626"/>
      <c r="P2" s="3626"/>
      <c r="Q2" s="3626"/>
      <c r="R2" s="3626"/>
    </row>
    <row r="3" spans="1:18">
      <c r="A3" s="2991" t="s">
        <v>2483</v>
      </c>
      <c r="B3" s="2992">
        <f>项目基本情况!D3</f>
        <v>45491</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2.42</v>
      </c>
      <c r="D5" s="2996">
        <f>IF(ISERROR(ROUND(POWER(1+E5,A5-C5)*(POWER(1+E5,C5)-1)/(POWER(1+E5,A5)-1),3)),0,ROUND(POWER(1+E5,A5-C5)*(POWER(1+E5,C5)-1)/(POWER(1+E5,A5)-1),4))</f>
        <v>0.1144</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12.43</v>
      </c>
      <c r="D6" s="2996">
        <f>IF(ISERROR(ROUND(POWER(1+E6,A6-C6)*(POWER(1+E6,C6)-1)/(POWER(1+E6,A6)-1),3)),0,ROUND(POWER(1+E6,A6-C6)*(POWER(1+E6,C6)-1)/(POWER(1+E6,A6)-1),4))</f>
        <v>0.44900000000000001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32.44</v>
      </c>
      <c r="D7" s="2996">
        <f>IF(ISERROR(ROUND(POWER(1+E7,A7-C7)*(POWER(1+E7,C7)-1)/(POWER(1+E7,A7)-1),3)),0,ROUND(POWER(1+E7,A7-C7)*(POWER(1+E7,C7)-1)/(POWER(1+E7,A7)-1),4))</f>
        <v>0.76919999999999999</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27" t="str">
        <f>IF(B10="北京市","北京市",C10)&amp;F10&amp;IF(结果表!G1="在建","出让国有建设用地使用权及在建建筑物",IF(结果表!G1="土地","出让国有建设用地使用权",))&amp;B9&amp;"预评估"</f>
        <v>北京市西城区西直门外大街南路甲28号房地产市场价值预评估</v>
      </c>
      <c r="C1" s="3628"/>
      <c r="D1" s="3628"/>
      <c r="E1" s="3628"/>
      <c r="F1" s="3628"/>
      <c r="G1" s="3628"/>
      <c r="H1" s="3628"/>
      <c r="I1" s="3629"/>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v>45491</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30"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31"/>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20.14</v>
      </c>
      <c r="E15" s="2404">
        <f>IF(A13="出让",IF(E13="","",ROUNDDOWN(MIN((E13-$D$3)/365,E14),2)),E14)</f>
        <v>30.14</v>
      </c>
      <c r="F15" s="2404">
        <f>IF(A13="出让",IF(F13="","",ROUNDDOWN(MIN((F13-$D$3)/365,F14),2)),F14)</f>
        <v>30.14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37"/>
      <c r="C16" s="3638"/>
      <c r="D16" s="3639"/>
      <c r="E16" s="2407" t="s">
        <v>2176</v>
      </c>
      <c r="F16" s="3640"/>
      <c r="G16" s="3641"/>
      <c r="H16" s="3641"/>
      <c r="I16" s="3642"/>
      <c r="J16" s="2433"/>
      <c r="K16" s="2589"/>
      <c r="L16" s="2445"/>
      <c r="M16" s="2445"/>
      <c r="N16" s="2501"/>
      <c r="O16" s="2445"/>
      <c r="P16" s="2501"/>
      <c r="Q16" s="2433"/>
      <c r="R16" s="2433"/>
    </row>
    <row r="17" spans="1:28">
      <c r="A17" s="313" t="s">
        <v>2177</v>
      </c>
      <c r="B17" s="302" t="s">
        <v>2178</v>
      </c>
      <c r="C17" s="8">
        <f>'数据-汇总表'!E3</f>
        <v>84373.10000000002</v>
      </c>
      <c r="D17" s="2317" t="s">
        <v>2179</v>
      </c>
      <c r="E17" s="3643" t="s">
        <v>2180</v>
      </c>
      <c r="F17" s="3644"/>
      <c r="G17" s="3644"/>
      <c r="H17" s="3644"/>
      <c r="I17" s="3645"/>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46" t="s">
        <v>2184</v>
      </c>
      <c r="F18" s="3647"/>
      <c r="G18" s="3647"/>
      <c r="H18" s="3647"/>
      <c r="I18" s="3648"/>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33" t="s">
        <v>2188</v>
      </c>
      <c r="C20" s="3634"/>
      <c r="D20" s="3635" t="s">
        <v>2189</v>
      </c>
      <c r="E20" s="3636"/>
      <c r="F20" s="2619" t="s">
        <v>1056</v>
      </c>
      <c r="G20" s="2636"/>
      <c r="H20" s="2636"/>
      <c r="I20" s="2636"/>
      <c r="J20" s="2433"/>
      <c r="K20" s="3632"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50"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50"/>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50"/>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51"/>
      <c r="B30" s="302" t="s">
        <v>2200</v>
      </c>
      <c r="C30" s="3652"/>
      <c r="D30" s="3653"/>
      <c r="E30" s="2636"/>
      <c r="F30" s="2636"/>
      <c r="G30" s="2636"/>
      <c r="H30" s="2636"/>
      <c r="I30" s="2636"/>
      <c r="J30" s="2433"/>
      <c r="K30" s="2588"/>
      <c r="L30" s="2585"/>
      <c r="M30" s="2585"/>
      <c r="N30" s="2433"/>
      <c r="O30" s="2444"/>
      <c r="P30" s="2433"/>
      <c r="Q30" s="2433"/>
      <c r="R30" s="2433"/>
      <c r="S30" s="2433"/>
      <c r="T30" s="2433"/>
      <c r="U30" s="2433"/>
      <c r="V30" s="2433"/>
    </row>
    <row r="31" spans="1:28">
      <c r="A31" s="3654"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55"/>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55"/>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49" t="s">
        <v>2210</v>
      </c>
      <c r="T34" s="2422" t="str">
        <f>NUMBERSTRING(7-K34,1)&amp;"通"</f>
        <v>七通</v>
      </c>
      <c r="U34" s="2433"/>
      <c r="V34" s="2433"/>
    </row>
    <row r="35" spans="1:30">
      <c r="A35" s="2423"/>
      <c r="B35" s="3656" t="s">
        <v>2211</v>
      </c>
      <c r="C35" s="3656"/>
      <c r="D35" s="3656"/>
      <c r="E35" s="3656"/>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9"/>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P48"/>
  <sheetViews>
    <sheetView workbookViewId="0">
      <selection activeCell="H16" sqref="H16"/>
    </sheetView>
  </sheetViews>
  <sheetFormatPr defaultRowHeight="13.5"/>
  <cols>
    <col min="8" max="8" width="12.75" bestFit="1" customWidth="1"/>
    <col min="11" max="11" width="10.5" bestFit="1" customWidth="1"/>
    <col min="12" max="12" width="9.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16">
      <c r="B17" s="3522" t="s">
        <v>4293</v>
      </c>
      <c r="C17" s="3527"/>
      <c r="D17" s="3521"/>
      <c r="E17" s="3521"/>
      <c r="F17" s="3521"/>
      <c r="G17" s="3521"/>
      <c r="H17" s="3526">
        <v>1</v>
      </c>
    </row>
    <row r="18" spans="2:16">
      <c r="B18" s="3522"/>
      <c r="C18" s="3521"/>
      <c r="D18" s="3521"/>
      <c r="E18" s="3521"/>
      <c r="F18" s="3521"/>
      <c r="G18" s="3521"/>
      <c r="H18" s="3529">
        <f>ROUND((H17+H16)/2,2)</f>
        <v>0.88</v>
      </c>
    </row>
    <row r="21" spans="2:16">
      <c r="B21" s="3490" t="s">
        <v>4295</v>
      </c>
      <c r="D21" s="3490" t="s">
        <v>4347</v>
      </c>
      <c r="F21" s="3490" t="s">
        <v>4348</v>
      </c>
    </row>
    <row r="22" spans="2:16">
      <c r="B22" s="3522" t="s">
        <v>4296</v>
      </c>
      <c r="C22" s="3530" t="s">
        <v>4299</v>
      </c>
      <c r="D22" s="3522" t="s">
        <v>4276</v>
      </c>
      <c r="E22" s="3522" t="s">
        <v>4300</v>
      </c>
      <c r="F22" s="3522" t="s">
        <v>2310</v>
      </c>
      <c r="G22" s="3522" t="s">
        <v>4300</v>
      </c>
      <c r="M22">
        <f ca="1">'收益法（汇总）'!B6</f>
        <v>188497</v>
      </c>
      <c r="N22" s="3490" t="s">
        <v>4389</v>
      </c>
      <c r="P22" s="3490" t="s">
        <v>4394</v>
      </c>
    </row>
    <row r="23" spans="2:16">
      <c r="B23" s="3522">
        <v>1</v>
      </c>
      <c r="C23" s="3521">
        <v>1</v>
      </c>
      <c r="D23" s="3521">
        <f>面积表!C12</f>
        <v>3343.12</v>
      </c>
      <c r="E23" s="3521">
        <v>18</v>
      </c>
      <c r="F23" s="3521">
        <f>面积表!C4</f>
        <v>1818.27</v>
      </c>
      <c r="G23" s="3521">
        <v>19</v>
      </c>
      <c r="J23" s="3490" t="s">
        <v>4385</v>
      </c>
      <c r="K23">
        <f>L37</f>
        <v>63214189.399999991</v>
      </c>
      <c r="M23">
        <f ca="1">ROUND(K23/$K$26*$M$22,0)</f>
        <v>67640</v>
      </c>
    </row>
    <row r="24" spans="2:16">
      <c r="B24" s="3522">
        <v>2</v>
      </c>
      <c r="C24" s="3527">
        <v>0.75</v>
      </c>
      <c r="D24" s="3521">
        <f>面积表!C13</f>
        <v>3244.08</v>
      </c>
      <c r="E24" s="3521">
        <v>14</v>
      </c>
      <c r="F24" s="3521">
        <f>面积表!C5</f>
        <v>1675.48</v>
      </c>
      <c r="G24" s="3521">
        <f>G23</f>
        <v>19</v>
      </c>
      <c r="J24" s="3490" t="s">
        <v>4386</v>
      </c>
      <c r="K24">
        <f>L46</f>
        <v>97135533.749999985</v>
      </c>
      <c r="M24">
        <f t="shared" ref="M24:M25" ca="1" si="1">ROUND(K24/$K$26*$M$22,0)</f>
        <v>103936</v>
      </c>
    </row>
    <row r="25" spans="2:16">
      <c r="B25" s="3522">
        <v>3</v>
      </c>
      <c r="C25" s="3521">
        <v>0.65</v>
      </c>
      <c r="D25" s="3521">
        <f>面积表!C14</f>
        <v>3963.74</v>
      </c>
      <c r="E25" s="3521">
        <v>13.5</v>
      </c>
      <c r="F25" s="3521">
        <f>面积表!C6</f>
        <v>1873.83</v>
      </c>
      <c r="G25" s="3521">
        <f>G24</f>
        <v>19</v>
      </c>
      <c r="H25" s="3490" t="s">
        <v>4346</v>
      </c>
      <c r="J25" s="3490" t="s">
        <v>4387</v>
      </c>
      <c r="K25">
        <f>D28*E28*365</f>
        <v>15814834.245000001</v>
      </c>
      <c r="M25">
        <f t="shared" ca="1" si="1"/>
        <v>16922</v>
      </c>
    </row>
    <row r="26" spans="2:16">
      <c r="B26" s="3522">
        <v>4</v>
      </c>
      <c r="C26" s="3527">
        <v>0.55000000000000004</v>
      </c>
      <c r="D26" s="3521">
        <f>面积表!C15</f>
        <v>3963.74</v>
      </c>
      <c r="E26" s="3521">
        <f>E25</f>
        <v>13.5</v>
      </c>
      <c r="F26" s="3521">
        <f>面积表!C7</f>
        <v>1873.83</v>
      </c>
      <c r="G26" s="3521">
        <f>G25</f>
        <v>19</v>
      </c>
      <c r="H26" s="3490" t="s">
        <v>4346</v>
      </c>
      <c r="K26">
        <f>SUM(K23:K25)</f>
        <v>176164557.39499998</v>
      </c>
      <c r="M26">
        <f ca="1">SUM(M23:M25)</f>
        <v>188498</v>
      </c>
    </row>
    <row r="27" spans="2:16">
      <c r="B27" s="3522">
        <v>5</v>
      </c>
      <c r="C27" s="3521">
        <v>0.5</v>
      </c>
      <c r="D27" s="3521">
        <f>面积表!C16</f>
        <v>3963.74</v>
      </c>
      <c r="E27" s="3521">
        <f>E26</f>
        <v>13.5</v>
      </c>
      <c r="F27" s="3521">
        <f>面积表!C8</f>
        <v>1873.83</v>
      </c>
      <c r="G27" s="3521">
        <f>G26</f>
        <v>19</v>
      </c>
      <c r="H27" t="str">
        <f>H26</f>
        <v>实际办公</v>
      </c>
    </row>
    <row r="28" spans="2:16">
      <c r="B28" s="3522" t="s">
        <v>4297</v>
      </c>
      <c r="C28" s="3521">
        <v>0.35</v>
      </c>
      <c r="D28" s="3521">
        <f>基准地价修正!D37</f>
        <v>6877.51</v>
      </c>
      <c r="E28" s="3521">
        <f>$E$23*C28</f>
        <v>6.3</v>
      </c>
      <c r="F28" s="3521">
        <f>基准地价修正!F37</f>
        <v>0.7</v>
      </c>
      <c r="G28" s="3521">
        <v>0</v>
      </c>
    </row>
    <row r="29" spans="2:16">
      <c r="B29" s="3522" t="s">
        <v>4298</v>
      </c>
      <c r="C29" s="3521">
        <v>0.3</v>
      </c>
      <c r="D29" s="3521">
        <v>0</v>
      </c>
      <c r="E29" s="3521">
        <v>0</v>
      </c>
      <c r="F29" s="3521">
        <v>0</v>
      </c>
      <c r="G29" s="3521">
        <v>0</v>
      </c>
    </row>
    <row r="30" spans="2:16">
      <c r="B30" s="3522"/>
      <c r="C30" s="3521"/>
      <c r="D30" s="3521">
        <f>SUM(D23:D29)</f>
        <v>25355.93</v>
      </c>
      <c r="E30" s="3533">
        <f>SUMPRODUCT(E23:E28,D23:D28)/D30</f>
        <v>12.204366513079979</v>
      </c>
      <c r="F30" s="3521">
        <f>SUM(F23:F29)</f>
        <v>9115.94</v>
      </c>
      <c r="G30" s="3533">
        <f>SUMPRODUCT(G23:G28,F23:F28)/F30</f>
        <v>18.998541017163337</v>
      </c>
      <c r="H30" s="3562">
        <f>(D30*E30+F30*G30)/(D30+F30)</f>
        <v>14.001057180825988</v>
      </c>
      <c r="J30" s="3490" t="s">
        <v>4348</v>
      </c>
      <c r="K30" s="3490" t="s">
        <v>4402</v>
      </c>
      <c r="N30" s="3490" t="s">
        <v>4401</v>
      </c>
    </row>
    <row r="31" spans="2:16">
      <c r="B31" s="3522"/>
      <c r="C31" s="3521"/>
      <c r="D31" s="3521"/>
      <c r="E31" s="3521"/>
      <c r="F31" s="3521"/>
      <c r="G31" s="3521"/>
      <c r="J31" s="3522" t="s">
        <v>2310</v>
      </c>
      <c r="K31" s="3522" t="s">
        <v>4300</v>
      </c>
      <c r="L31" s="3522" t="s">
        <v>4388</v>
      </c>
    </row>
    <row r="32" spans="2:16">
      <c r="J32" s="3521">
        <f t="shared" ref="J32:K36" si="2">F23</f>
        <v>1818.27</v>
      </c>
      <c r="K32" s="3521">
        <f t="shared" si="2"/>
        <v>19</v>
      </c>
      <c r="L32" s="3521">
        <f>K32*J32*365</f>
        <v>12609702.449999999</v>
      </c>
      <c r="N32">
        <f ca="1">ROUND($M$22*L32/$K$26,0)</f>
        <v>13492</v>
      </c>
    </row>
    <row r="33" spans="10:14">
      <c r="J33" s="3521">
        <f t="shared" si="2"/>
        <v>1675.48</v>
      </c>
      <c r="K33" s="3521">
        <f t="shared" si="2"/>
        <v>19</v>
      </c>
      <c r="L33" s="3521">
        <f t="shared" ref="L33:L36" si="3">K33*J33*365</f>
        <v>11619453.799999999</v>
      </c>
      <c r="N33">
        <f t="shared" ref="N33:N36" ca="1" si="4">ROUND($M$22*L33/$K$26,0)</f>
        <v>12433</v>
      </c>
    </row>
    <row r="34" spans="10:14">
      <c r="J34" s="3521">
        <f t="shared" si="2"/>
        <v>1873.83</v>
      </c>
      <c r="K34" s="3521">
        <f t="shared" si="2"/>
        <v>19</v>
      </c>
      <c r="L34" s="3521">
        <f t="shared" si="3"/>
        <v>12995011.049999999</v>
      </c>
      <c r="N34">
        <f t="shared" ca="1" si="4"/>
        <v>13905</v>
      </c>
    </row>
    <row r="35" spans="10:14">
      <c r="J35" s="3521">
        <f t="shared" si="2"/>
        <v>1873.83</v>
      </c>
      <c r="K35" s="3521">
        <f t="shared" si="2"/>
        <v>19</v>
      </c>
      <c r="L35" s="3521">
        <f t="shared" si="3"/>
        <v>12995011.049999999</v>
      </c>
      <c r="N35">
        <f t="shared" ca="1" si="4"/>
        <v>13905</v>
      </c>
    </row>
    <row r="36" spans="10:14">
      <c r="J36" s="3521">
        <f t="shared" si="2"/>
        <v>1873.83</v>
      </c>
      <c r="K36" s="3521">
        <f t="shared" si="2"/>
        <v>19</v>
      </c>
      <c r="L36" s="3521">
        <f t="shared" si="3"/>
        <v>12995011.049999999</v>
      </c>
      <c r="N36">
        <f t="shared" ca="1" si="4"/>
        <v>13905</v>
      </c>
    </row>
    <row r="37" spans="10:14">
      <c r="J37" s="3569">
        <f>SUM(J32:J36)</f>
        <v>9115.24</v>
      </c>
      <c r="K37" s="3569"/>
      <c r="L37" s="3569">
        <f t="shared" ref="L37:N37" si="5">SUM(L32:L36)</f>
        <v>63214189.399999991</v>
      </c>
      <c r="N37" s="3569">
        <f t="shared" ca="1" si="5"/>
        <v>67640</v>
      </c>
    </row>
    <row r="39" spans="10:14">
      <c r="J39" s="3490" t="str">
        <f>D21</f>
        <v>B座</v>
      </c>
    </row>
    <row r="40" spans="10:14">
      <c r="J40" s="3522" t="s">
        <v>2310</v>
      </c>
      <c r="K40" s="3522" t="s">
        <v>4300</v>
      </c>
      <c r="L40" s="3522" t="s">
        <v>4388</v>
      </c>
    </row>
    <row r="41" spans="10:14">
      <c r="J41" s="3521">
        <f>D23</f>
        <v>3343.12</v>
      </c>
      <c r="K41" s="3521">
        <f>E23</f>
        <v>18</v>
      </c>
      <c r="L41" s="3521">
        <f>K41*J41*365</f>
        <v>21964298.399999999</v>
      </c>
      <c r="N41">
        <f t="shared" ref="N41:N45" ca="1" si="6">ROUND($M$22*L41/$K$26,0)</f>
        <v>23502</v>
      </c>
    </row>
    <row r="42" spans="10:14">
      <c r="J42" s="3521">
        <f t="shared" ref="J42:J45" si="7">D24</f>
        <v>3244.08</v>
      </c>
      <c r="K42" s="3521">
        <f>E24</f>
        <v>14</v>
      </c>
      <c r="L42" s="3521">
        <f t="shared" ref="L42:L45" si="8">K42*J42*365</f>
        <v>16577248.799999999</v>
      </c>
      <c r="N42">
        <f t="shared" ca="1" si="6"/>
        <v>17738</v>
      </c>
    </row>
    <row r="43" spans="10:14">
      <c r="J43" s="3521">
        <f t="shared" si="7"/>
        <v>3963.74</v>
      </c>
      <c r="K43" s="3521">
        <f>E25</f>
        <v>13.5</v>
      </c>
      <c r="L43" s="3521">
        <f t="shared" si="8"/>
        <v>19531328.849999998</v>
      </c>
      <c r="N43">
        <f t="shared" ca="1" si="6"/>
        <v>20899</v>
      </c>
    </row>
    <row r="44" spans="10:14">
      <c r="J44" s="3521">
        <f t="shared" si="7"/>
        <v>3963.74</v>
      </c>
      <c r="K44" s="3521">
        <f>E26</f>
        <v>13.5</v>
      </c>
      <c r="L44" s="3521">
        <f t="shared" si="8"/>
        <v>19531328.849999998</v>
      </c>
      <c r="N44">
        <f t="shared" ca="1" si="6"/>
        <v>20899</v>
      </c>
    </row>
    <row r="45" spans="10:14">
      <c r="J45" s="3521">
        <f t="shared" si="7"/>
        <v>3963.74</v>
      </c>
      <c r="K45" s="3521">
        <f>E27</f>
        <v>13.5</v>
      </c>
      <c r="L45" s="3521">
        <f t="shared" si="8"/>
        <v>19531328.849999998</v>
      </c>
      <c r="N45">
        <f t="shared" ca="1" si="6"/>
        <v>20899</v>
      </c>
    </row>
    <row r="46" spans="10:14">
      <c r="J46" s="3569">
        <f>SUM(J41:J45)</f>
        <v>18478.419999999998</v>
      </c>
      <c r="K46" s="3569"/>
      <c r="L46" s="3569">
        <f>SUM(L41:L45)</f>
        <v>97135533.749999985</v>
      </c>
      <c r="N46" s="3569">
        <f ca="1">SUM(N41:N45)</f>
        <v>103937</v>
      </c>
    </row>
    <row r="48" spans="10:14">
      <c r="J48" s="3490" t="s">
        <v>4412</v>
      </c>
      <c r="K48">
        <f>E28</f>
        <v>6.3</v>
      </c>
      <c r="L48">
        <f>K25</f>
        <v>15814834.245000001</v>
      </c>
      <c r="N48">
        <f ca="1">M22-N37-N46</f>
        <v>16920</v>
      </c>
    </row>
  </sheetData>
  <phoneticPr fontId="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D39" sqref="D3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66" t="s">
        <v>1131</v>
      </c>
      <c r="B2" s="3666"/>
      <c r="C2" s="3666"/>
      <c r="D2" s="792" t="s">
        <v>1107</v>
      </c>
      <c r="E2" s="1634" t="s">
        <v>1108</v>
      </c>
      <c r="F2" s="2631"/>
      <c r="G2" s="2622"/>
      <c r="H2" s="2623"/>
      <c r="I2" s="2320" t="s">
        <v>1132</v>
      </c>
      <c r="J2" s="2631"/>
      <c r="K2" s="2631"/>
      <c r="L2" s="2631"/>
      <c r="M2" s="2631"/>
      <c r="N2" s="2633"/>
      <c r="O2" s="2631"/>
      <c r="P2" s="2631"/>
    </row>
    <row r="3" spans="1:16" ht="15.75" thickBot="1">
      <c r="A3" s="3667" t="s">
        <v>1105</v>
      </c>
      <c r="B3" s="3667"/>
      <c r="C3" s="3667"/>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68"/>
      <c r="B4" s="3669"/>
      <c r="C4" s="3670"/>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71" t="s">
        <v>1110</v>
      </c>
      <c r="C5" s="3671"/>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71" t="s">
        <v>1111</v>
      </c>
      <c r="C6" s="3671"/>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63"/>
      <c r="B7" s="3664"/>
      <c r="C7" s="3665"/>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60" t="s">
        <v>1135</v>
      </c>
      <c r="L16" s="3661"/>
      <c r="M16" s="3661"/>
      <c r="N16" s="3661"/>
      <c r="O16" s="3661"/>
      <c r="P16" s="3662"/>
    </row>
    <row r="17" spans="1:19" ht="15">
      <c r="A17" s="1645" t="s">
        <v>1136</v>
      </c>
      <c r="B17" s="1646" t="s">
        <v>1137</v>
      </c>
      <c r="C17" s="1647" t="s">
        <v>1138</v>
      </c>
      <c r="D17" s="1648" t="s">
        <v>1126</v>
      </c>
      <c r="E17" s="1649" t="s">
        <v>1127</v>
      </c>
      <c r="F17" s="1650"/>
      <c r="G17" s="1651"/>
      <c r="H17" s="1652" t="s">
        <v>1139</v>
      </c>
      <c r="I17" s="1653" t="s">
        <v>1124</v>
      </c>
      <c r="J17" s="1135"/>
      <c r="K17" s="3657" t="s">
        <v>1140</v>
      </c>
      <c r="L17" s="3658"/>
      <c r="M17" s="3659"/>
      <c r="N17" s="3657" t="s">
        <v>1141</v>
      </c>
      <c r="O17" s="3658"/>
      <c r="P17" s="3659"/>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4316</v>
      </c>
      <c r="F38" s="3534">
        <f>F31</f>
        <v>62894.500000000007</v>
      </c>
      <c r="G38" s="3535">
        <f>(580000-(F39*G39+F40*G40)/10000)/'数据-汇总表'!F38*10000</f>
        <v>86069.151515633319</v>
      </c>
      <c r="H38" s="1633">
        <f>580000/E31</f>
        <v>6.8742288715242177</v>
      </c>
      <c r="K38" s="1633">
        <f>F27*90000/10000</f>
        <v>566050.50000000012</v>
      </c>
    </row>
    <row r="39" spans="4:11">
      <c r="E39" s="3538" t="s">
        <v>4317</v>
      </c>
      <c r="F39" s="3534">
        <f>G19</f>
        <v>6877.51</v>
      </c>
      <c r="G39" s="1633">
        <v>35000</v>
      </c>
    </row>
    <row r="40" spans="4:11">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45491</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20.14</v>
      </c>
      <c r="G6" s="65">
        <f>IF(ISERROR(ROUND(POWER(1+H6,D6-F6)*(POWER(1+H6,F6)-1)/(POWER(1+H6,D6)-1),3)),0,ROUND(POWER(1+H6,D6-F6)*(POWER(1+H6,F6)-1)/(POWER(1+H6,D6)-1),3))</f>
        <v>0.72899999999999998</v>
      </c>
      <c r="H6" s="731">
        <v>0.05</v>
      </c>
      <c r="I6" s="731">
        <v>5.5E-2</v>
      </c>
      <c r="J6" s="66">
        <v>7.0000000000000007E-2</v>
      </c>
      <c r="K6" s="1026">
        <f>SUMIF('数据-汇总表'!C$19:C$33,A6,'数据-汇总表'!E$19:E$33)</f>
        <v>34471.17</v>
      </c>
      <c r="L6" s="3556">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13</v>
      </c>
      <c r="V6" s="70">
        <v>0.03</v>
      </c>
      <c r="W6" s="70">
        <v>0.1</v>
      </c>
      <c r="X6" s="1036"/>
      <c r="Y6" s="71">
        <f>N6</f>
        <v>0.98</v>
      </c>
      <c r="Z6" s="72"/>
      <c r="AA6" s="66"/>
      <c r="AB6" s="66"/>
      <c r="AC6" s="1036"/>
      <c r="AD6" s="73"/>
      <c r="AE6" s="1037">
        <f ca="1">IF(AN6="",0,SUMIF(INDIRECT("'"&amp;AN6&amp;"'"&amp;"!E:E"),$AE$5,INDIRECT("'"&amp;AN6&amp;"'"&amp;"!F:F")))</f>
        <v>20.14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188497</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30.14</v>
      </c>
      <c r="G7" s="65">
        <f t="shared" ref="G7:G11" si="2">IF(ISERROR(ROUND(POWER(1+H7,D7-F7)*(POWER(1+H7,F7)-1)/(POWER(1+H7,D7)-1),3)),0,ROUND(POWER(1+H7,D7-F7)*(POWER(1+H7,F7)-1)/(POWER(1+H7,D7)-1),3))</f>
        <v>0.84399999999999997</v>
      </c>
      <c r="H7" s="731">
        <v>0.05</v>
      </c>
      <c r="I7" s="731">
        <v>5.5E-2</v>
      </c>
      <c r="J7" s="66">
        <v>7.0000000000000007E-2</v>
      </c>
      <c r="K7" s="1026">
        <f>SUMIF('数据-汇总表'!C$19:C$33,A7,'数据-汇总表'!E$19:E$33)</f>
        <v>35300.840000000011</v>
      </c>
      <c r="L7" s="3556">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15</v>
      </c>
      <c r="V7" s="734">
        <v>0.03</v>
      </c>
      <c r="W7" s="734">
        <f>W6</f>
        <v>0.1</v>
      </c>
      <c r="X7" s="1036"/>
      <c r="Y7" s="71">
        <f t="shared" ref="Y7:Y8" si="6">N7</f>
        <v>0.98</v>
      </c>
      <c r="Z7" s="72"/>
      <c r="AA7" s="66"/>
      <c r="AB7" s="66"/>
      <c r="AC7" s="1036"/>
      <c r="AD7" s="73"/>
      <c r="AE7" s="1037">
        <f t="shared" ref="AE7:AE13" ca="1" si="7">IF(AN7="",0,SUMIF(INDIRECT("'"&amp;AN7&amp;"'"&amp;"!E:E"),$AE$5,INDIRECT("'"&amp;AN7&amp;"'"&amp;"!F:F")))</f>
        <v>30.14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294414</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30.14</v>
      </c>
      <c r="G8" s="65">
        <f t="shared" si="2"/>
        <v>0.82599999999999996</v>
      </c>
      <c r="H8" s="731">
        <v>4.4999999999999998E-2</v>
      </c>
      <c r="I8" s="731">
        <v>0.05</v>
      </c>
      <c r="J8" s="66">
        <v>7.0000000000000007E-2</v>
      </c>
      <c r="K8" s="1026">
        <f>SUMIF('数据-汇总表'!C$19:C$33,A8,'数据-汇总表'!E$19:E$33)</f>
        <v>14601.09</v>
      </c>
      <c r="L8" s="3556">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2000</v>
      </c>
      <c r="V8" s="734">
        <v>2.5000000000000001E-2</v>
      </c>
      <c r="W8" s="734">
        <f>W7</f>
        <v>0.1</v>
      </c>
      <c r="X8" s="1036"/>
      <c r="Y8" s="71">
        <f t="shared" si="6"/>
        <v>0.98</v>
      </c>
      <c r="Z8" s="72"/>
      <c r="AA8" s="66"/>
      <c r="AB8" s="66"/>
      <c r="AC8" s="1036"/>
      <c r="AD8" s="73"/>
      <c r="AE8" s="1037">
        <f t="shared" ca="1" si="7"/>
        <v>30.14</v>
      </c>
      <c r="AF8" s="1343"/>
      <c r="AG8" s="138">
        <f t="shared" si="8"/>
        <v>0</v>
      </c>
      <c r="AH8" s="735">
        <v>287</v>
      </c>
      <c r="AI8" s="76">
        <v>12</v>
      </c>
      <c r="AJ8" s="77"/>
      <c r="AK8" s="78">
        <f>AK6</f>
        <v>5.0000000000000001E-3</v>
      </c>
      <c r="AL8" s="79">
        <v>1E-3</v>
      </c>
      <c r="AM8" s="80">
        <v>5.0000000000000001E-3</v>
      </c>
      <c r="AN8" s="1710" t="s">
        <v>4307</v>
      </c>
      <c r="AO8" s="52">
        <f t="shared" ca="1" si="9"/>
        <v>9706</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0.79400000000000004</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1.4999999999999999E-2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1.4999999999999999E-2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72" t="s">
        <v>2264</v>
      </c>
      <c r="B1" s="3673"/>
      <c r="C1" s="3673"/>
      <c r="D1" s="3673"/>
      <c r="E1" s="3673"/>
      <c r="F1" s="3673"/>
      <c r="G1" s="367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tabSelected="1" topLeftCell="I1" zoomScaleNormal="100" workbookViewId="0">
      <selection activeCell="J18" sqref="J18"/>
    </sheetView>
  </sheetViews>
  <sheetFormatPr defaultColWidth="9" defaultRowHeight="16.5"/>
  <cols>
    <col min="1" max="2" width="9" style="3515"/>
    <col min="3" max="3" width="11.25" style="3515" customWidth="1"/>
    <col min="4" max="4" width="11.125" style="3515" customWidth="1"/>
    <col min="5" max="5" width="9" style="3515"/>
    <col min="6" max="6" width="4.5" style="3515" bestFit="1" customWidth="1"/>
    <col min="7" max="7" width="19.375" style="3515" bestFit="1" customWidth="1"/>
    <col min="8" max="8" width="23.375" style="3515" customWidth="1"/>
    <col min="9" max="14" width="9" style="3515"/>
    <col min="15" max="15" width="10.75" style="3515" customWidth="1"/>
    <col min="16" max="29" width="9" style="3515"/>
    <col min="30" max="31" width="19.75" style="3515" customWidth="1"/>
    <col min="32" max="32" width="18.125" style="3515" customWidth="1"/>
    <col min="33" max="33" width="18.375" style="3515" customWidth="1"/>
    <col min="34" max="35" width="12.75" style="3515" customWidth="1"/>
    <col min="36" max="36" width="14.25" style="3515" customWidth="1"/>
    <col min="37" max="16384" width="9" style="3515"/>
  </cols>
  <sheetData>
    <row r="1" spans="2:15">
      <c r="B1" s="3515" t="s">
        <v>4208</v>
      </c>
      <c r="F1" s="3516"/>
      <c r="G1" s="3516"/>
      <c r="H1" s="3516"/>
    </row>
    <row r="2" spans="2:15">
      <c r="F2" s="3516"/>
      <c r="G2" s="3516"/>
      <c r="H2" s="3516"/>
    </row>
    <row r="3" spans="2:15" ht="15" customHeight="1">
      <c r="B3" s="3516" t="s">
        <v>4209</v>
      </c>
      <c r="C3" s="3516"/>
      <c r="D3" s="3516"/>
      <c r="E3" s="3516"/>
      <c r="F3" s="3516"/>
      <c r="G3" s="3516"/>
      <c r="H3" s="3516"/>
      <c r="I3" s="3516"/>
      <c r="J3" s="3516"/>
      <c r="K3" s="3516"/>
      <c r="L3" s="3516"/>
      <c r="M3" s="3516"/>
      <c r="N3" s="3516"/>
    </row>
    <row r="4" spans="2:15">
      <c r="B4" s="3517" t="s">
        <v>4211</v>
      </c>
      <c r="C4" s="3517">
        <v>1818.27</v>
      </c>
      <c r="D4" s="3517" t="s">
        <v>4210</v>
      </c>
      <c r="E4" s="3516"/>
      <c r="F4" s="3516"/>
      <c r="G4" s="3516"/>
      <c r="H4" s="3516"/>
      <c r="I4" s="3516"/>
      <c r="J4" s="3516"/>
      <c r="K4" s="3516"/>
      <c r="L4" s="3516"/>
      <c r="M4" s="3516"/>
      <c r="N4" s="3516"/>
    </row>
    <row r="5" spans="2:15">
      <c r="B5" s="3517" t="s">
        <v>4212</v>
      </c>
      <c r="C5" s="3517">
        <v>1675.48</v>
      </c>
      <c r="D5" s="3517" t="s">
        <v>4210</v>
      </c>
      <c r="E5" s="3516"/>
      <c r="F5" s="3516"/>
      <c r="G5" s="3516"/>
      <c r="H5" s="3516"/>
      <c r="I5" s="3516"/>
      <c r="J5" s="3516"/>
      <c r="K5" s="3516"/>
      <c r="L5" s="3516"/>
      <c r="M5" s="3516"/>
      <c r="N5" s="3516"/>
    </row>
    <row r="6" spans="2:15">
      <c r="B6" s="3517" t="s">
        <v>4213</v>
      </c>
      <c r="C6" s="3517">
        <v>1873.83</v>
      </c>
      <c r="D6" s="3517" t="s">
        <v>4214</v>
      </c>
      <c r="E6" s="3516"/>
      <c r="F6" s="3516"/>
      <c r="G6" s="3516"/>
      <c r="H6" s="3516"/>
      <c r="I6" s="3516"/>
      <c r="J6" s="3516"/>
      <c r="K6" s="3516"/>
      <c r="L6" s="3516"/>
      <c r="M6" s="3516"/>
      <c r="N6" s="3516"/>
    </row>
    <row r="7" spans="2:15">
      <c r="B7" s="3517" t="s">
        <v>4215</v>
      </c>
      <c r="C7" s="3517">
        <v>1873.83</v>
      </c>
      <c r="D7" s="3517" t="s">
        <v>4214</v>
      </c>
      <c r="E7" s="3516"/>
      <c r="F7" s="3516"/>
      <c r="G7" s="3516"/>
      <c r="H7" s="3516"/>
      <c r="I7" s="3516"/>
      <c r="J7" s="3516"/>
      <c r="K7" s="3516"/>
      <c r="L7" s="3516"/>
      <c r="M7" s="3516"/>
      <c r="N7" s="3516"/>
    </row>
    <row r="8" spans="2:15">
      <c r="B8" s="3517" t="s">
        <v>4216</v>
      </c>
      <c r="C8" s="3517">
        <v>1873.83</v>
      </c>
      <c r="D8" s="3517" t="s">
        <v>4214</v>
      </c>
      <c r="E8" s="3516"/>
      <c r="F8" s="3516"/>
      <c r="G8" s="3516"/>
      <c r="H8" s="3516"/>
      <c r="I8" s="3516"/>
      <c r="J8" s="3516"/>
      <c r="K8" s="3516"/>
      <c r="L8" s="3516"/>
      <c r="M8" s="3516"/>
      <c r="N8" s="3516"/>
    </row>
    <row r="9" spans="2:15">
      <c r="B9" s="3517" t="s">
        <v>4205</v>
      </c>
      <c r="C9" s="3517">
        <f>SUM(C4:C8)</f>
        <v>9115.24</v>
      </c>
      <c r="D9" s="3517"/>
      <c r="E9" s="3516"/>
      <c r="F9" s="3516"/>
      <c r="G9" s="3516"/>
      <c r="H9" s="3516"/>
      <c r="I9" s="3516"/>
      <c r="J9" s="3516"/>
      <c r="K9" s="3516"/>
      <c r="L9" s="3516"/>
      <c r="M9" s="3516"/>
      <c r="N9" s="3516"/>
    </row>
    <row r="10" spans="2:15" ht="17.25" thickBot="1">
      <c r="B10" s="3518"/>
      <c r="C10" s="3518"/>
      <c r="D10" s="3518"/>
      <c r="E10" s="3516"/>
      <c r="F10" s="3516"/>
      <c r="G10" s="3516"/>
      <c r="H10" s="3516"/>
      <c r="I10" s="3516"/>
      <c r="J10" s="3516">
        <f ca="1">结果表!H118</f>
        <v>571879</v>
      </c>
      <c r="K10" s="3516">
        <f ca="1">结果表!N59</f>
        <v>513861</v>
      </c>
      <c r="L10" s="3516"/>
      <c r="M10" s="3516"/>
      <c r="N10" s="3516"/>
    </row>
    <row r="11" spans="2:15" ht="17.25" thickTop="1">
      <c r="B11" s="3518" t="s">
        <v>4217</v>
      </c>
      <c r="C11" s="3518"/>
      <c r="D11" s="3518"/>
      <c r="E11" s="3516"/>
      <c r="F11" s="3560" t="s">
        <v>3443</v>
      </c>
      <c r="G11" s="3561" t="s">
        <v>4367</v>
      </c>
      <c r="H11" s="3561" t="s">
        <v>4368</v>
      </c>
      <c r="I11" s="3561" t="s">
        <v>4369</v>
      </c>
      <c r="J11" s="3561" t="s">
        <v>4370</v>
      </c>
      <c r="K11" s="3561" t="s">
        <v>4390</v>
      </c>
      <c r="L11" s="3561" t="s">
        <v>4381</v>
      </c>
      <c r="M11" s="3561" t="s">
        <v>4382</v>
      </c>
      <c r="N11" s="3561" t="s">
        <v>4383</v>
      </c>
      <c r="O11" s="3561" t="s">
        <v>4384</v>
      </c>
    </row>
    <row r="12" spans="2:15" ht="25.5">
      <c r="B12" s="3517" t="s">
        <v>4218</v>
      </c>
      <c r="C12" s="3517">
        <v>3343.12</v>
      </c>
      <c r="D12" s="3517" t="s">
        <v>4219</v>
      </c>
      <c r="E12" s="3516"/>
      <c r="F12" s="3563">
        <v>1</v>
      </c>
      <c r="G12" s="3564" t="s">
        <v>4391</v>
      </c>
      <c r="H12" s="3564" t="s">
        <v>4372</v>
      </c>
      <c r="I12" s="3565">
        <f>C9</f>
        <v>9115.24</v>
      </c>
      <c r="J12" s="3565">
        <f ca="1">Y41</f>
        <v>92843</v>
      </c>
      <c r="K12" s="3565">
        <f ca="1">AA41</f>
        <v>83425</v>
      </c>
      <c r="L12" s="3565">
        <f ca="1">取值过程!M23</f>
        <v>67640</v>
      </c>
      <c r="M12" s="3565"/>
      <c r="N12" s="3565"/>
      <c r="O12" s="3565">
        <f ca="1">SUM(L12:N12)</f>
        <v>67640</v>
      </c>
    </row>
    <row r="13" spans="2:15" ht="25.5">
      <c r="B13" s="3517" t="s">
        <v>4220</v>
      </c>
      <c r="C13" s="3517">
        <v>3244.08</v>
      </c>
      <c r="D13" s="3517" t="s">
        <v>4219</v>
      </c>
      <c r="E13" s="3516"/>
      <c r="F13" s="3563">
        <v>2</v>
      </c>
      <c r="G13" s="3564" t="s">
        <v>4373</v>
      </c>
      <c r="H13" s="3564" t="s">
        <v>4374</v>
      </c>
      <c r="I13" s="3565">
        <f>C31</f>
        <v>53779.260000000024</v>
      </c>
      <c r="J13" s="3565">
        <f ca="1">Y49</f>
        <v>440816</v>
      </c>
      <c r="K13" s="3565">
        <f ca="1">AA49</f>
        <v>396093</v>
      </c>
      <c r="L13" s="3565">
        <f ca="1">取值过程!M24</f>
        <v>103936</v>
      </c>
      <c r="M13" s="3565">
        <f ca="1">'收益法（汇总）'!B7</f>
        <v>294414</v>
      </c>
      <c r="N13" s="3565"/>
      <c r="O13" s="3565">
        <f t="shared" ref="O13:O16" ca="1" si="0">SUM(L13:N13)</f>
        <v>398350</v>
      </c>
    </row>
    <row r="14" spans="2:15" ht="25.5">
      <c r="B14" s="3517" t="s">
        <v>4221</v>
      </c>
      <c r="C14" s="3517">
        <v>3963.74</v>
      </c>
      <c r="D14" s="3517" t="s">
        <v>4219</v>
      </c>
      <c r="E14" s="3516"/>
      <c r="F14" s="3563">
        <v>3</v>
      </c>
      <c r="G14" s="3564" t="s">
        <v>4375</v>
      </c>
      <c r="H14" s="3564" t="s">
        <v>4376</v>
      </c>
      <c r="I14" s="3565">
        <f>C33</f>
        <v>6877.51</v>
      </c>
      <c r="J14" s="3565">
        <f ca="1">Y51</f>
        <v>27067</v>
      </c>
      <c r="K14" s="3565">
        <f ca="1">AA51</f>
        <v>24321</v>
      </c>
      <c r="L14" s="3565">
        <f ca="1">取值过程!M25</f>
        <v>16922</v>
      </c>
      <c r="M14" s="3565"/>
      <c r="N14" s="3565"/>
      <c r="O14" s="3565">
        <f t="shared" ca="1" si="0"/>
        <v>16922</v>
      </c>
    </row>
    <row r="15" spans="2:15" ht="25.5">
      <c r="B15" s="3517" t="s">
        <v>4222</v>
      </c>
      <c r="C15" s="3517">
        <v>3963.74</v>
      </c>
      <c r="D15" s="3517" t="s">
        <v>4219</v>
      </c>
      <c r="E15" s="3516"/>
      <c r="F15" s="3563">
        <v>4</v>
      </c>
      <c r="G15" s="3564" t="s">
        <v>4377</v>
      </c>
      <c r="H15" s="3564" t="s">
        <v>4378</v>
      </c>
      <c r="I15" s="3565">
        <f>C34</f>
        <v>7475.14</v>
      </c>
      <c r="J15" s="3565">
        <f ca="1">Y52</f>
        <v>5711</v>
      </c>
      <c r="K15" s="3565">
        <f ca="1">AA52</f>
        <v>5132</v>
      </c>
      <c r="L15" s="3565"/>
      <c r="M15" s="3565"/>
      <c r="N15" s="3565">
        <f ca="1">ROUND(I15/(I15+I16)*'收益法（汇总）'!B8,0)</f>
        <v>4969</v>
      </c>
      <c r="O15" s="3565">
        <f t="shared" ca="1" si="0"/>
        <v>4969</v>
      </c>
    </row>
    <row r="16" spans="2:15" ht="25.5">
      <c r="B16" s="3517" t="s">
        <v>4223</v>
      </c>
      <c r="C16" s="3517">
        <v>3963.74</v>
      </c>
      <c r="D16" s="3517" t="s">
        <v>4219</v>
      </c>
      <c r="E16" s="3516"/>
      <c r="F16" s="3563">
        <v>5</v>
      </c>
      <c r="G16" s="3564" t="s">
        <v>4380</v>
      </c>
      <c r="H16" s="3564" t="s">
        <v>4379</v>
      </c>
      <c r="I16" s="3565">
        <f>C35</f>
        <v>7125.95</v>
      </c>
      <c r="J16" s="3565">
        <f ca="1">J10-J12-J13-J14-J15</f>
        <v>5442</v>
      </c>
      <c r="K16" s="3565">
        <f ca="1">AA53</f>
        <v>4890</v>
      </c>
      <c r="L16" s="3565"/>
      <c r="M16" s="3565"/>
      <c r="N16" s="3565">
        <f ca="1">'收益法（汇总）'!B8-面积表!N15</f>
        <v>4737</v>
      </c>
      <c r="O16" s="3565">
        <f t="shared" ca="1" si="0"/>
        <v>4737</v>
      </c>
    </row>
    <row r="17" spans="2:15">
      <c r="B17" s="3517" t="s">
        <v>4224</v>
      </c>
      <c r="C17" s="3517">
        <v>2413.5100000000002</v>
      </c>
      <c r="D17" s="3517" t="s">
        <v>4225</v>
      </c>
      <c r="E17" s="3516"/>
      <c r="F17" s="3563"/>
      <c r="G17" s="3564"/>
      <c r="H17" s="3564"/>
      <c r="I17" s="3565"/>
      <c r="J17" s="3565"/>
      <c r="K17" s="3565"/>
      <c r="L17" s="3565"/>
      <c r="M17" s="3565"/>
      <c r="N17" s="3565"/>
      <c r="O17" s="3565"/>
    </row>
    <row r="18" spans="2:15" ht="17.25" thickBot="1">
      <c r="B18" s="3517" t="s">
        <v>4226</v>
      </c>
      <c r="C18" s="3517">
        <v>2413.5100000000002</v>
      </c>
      <c r="D18" s="3517" t="s">
        <v>4225</v>
      </c>
      <c r="E18" s="3516"/>
      <c r="F18" s="3674" t="s">
        <v>4371</v>
      </c>
      <c r="G18" s="3675"/>
      <c r="H18" s="3676"/>
      <c r="I18" s="3566">
        <f>SUM(I12:I17)</f>
        <v>84373.10000000002</v>
      </c>
      <c r="J18" s="3566">
        <f ca="1">SUM(J12:J17)</f>
        <v>571879</v>
      </c>
      <c r="K18" s="3566">
        <f ca="1">SUM(K12:K17)</f>
        <v>513861</v>
      </c>
      <c r="L18" s="3566"/>
      <c r="M18" s="3566"/>
      <c r="N18" s="3566"/>
      <c r="O18" s="3566">
        <f ca="1">SUM(O12:O16)</f>
        <v>492618</v>
      </c>
    </row>
    <row r="19" spans="2:15" ht="17.25" thickTop="1">
      <c r="B19" s="3517" t="s">
        <v>4227</v>
      </c>
      <c r="C19" s="3517">
        <v>2413.5100000000002</v>
      </c>
      <c r="D19" s="3517" t="s">
        <v>4225</v>
      </c>
      <c r="E19" s="3516"/>
      <c r="F19" s="3516"/>
      <c r="G19" s="3516"/>
      <c r="H19" s="3516"/>
      <c r="I19" s="3516"/>
      <c r="J19" s="3516"/>
      <c r="K19" s="3516"/>
      <c r="L19" s="3516"/>
      <c r="M19" s="3516"/>
      <c r="N19" s="3516"/>
      <c r="O19" s="3515">
        <f ca="1">O18-'收益法（汇总）'!B2</f>
        <v>1</v>
      </c>
    </row>
    <row r="20" spans="2:15">
      <c r="B20" s="3517" t="s">
        <v>4228</v>
      </c>
      <c r="C20" s="3517">
        <v>2413.5100000000002</v>
      </c>
      <c r="D20" s="3517" t="s">
        <v>4225</v>
      </c>
      <c r="E20" s="3516"/>
      <c r="F20" s="3516"/>
    </row>
    <row r="21" spans="2:15">
      <c r="B21" s="3517" t="s">
        <v>4229</v>
      </c>
      <c r="C21" s="3517">
        <v>2413.5100000000002</v>
      </c>
      <c r="D21" s="3517" t="s">
        <v>4225</v>
      </c>
      <c r="E21" s="3516"/>
      <c r="F21" s="3516"/>
    </row>
    <row r="22" spans="2:15">
      <c r="B22" s="3517" t="s">
        <v>4230</v>
      </c>
      <c r="C22" s="3517">
        <v>2413.5100000000002</v>
      </c>
      <c r="D22" s="3517" t="s">
        <v>4225</v>
      </c>
      <c r="E22" s="3516"/>
      <c r="F22" s="3516"/>
    </row>
    <row r="23" spans="2:15">
      <c r="B23" s="3517" t="s">
        <v>4231</v>
      </c>
      <c r="C23" s="3517">
        <v>2413.5100000000002</v>
      </c>
      <c r="D23" s="3517" t="s">
        <v>4225</v>
      </c>
      <c r="E23" s="3516"/>
      <c r="F23" s="3516"/>
      <c r="H23" s="3515" t="s">
        <v>4395</v>
      </c>
      <c r="I23" s="3515" t="s">
        <v>4400</v>
      </c>
    </row>
    <row r="24" spans="2:15">
      <c r="B24" s="3517" t="s">
        <v>4232</v>
      </c>
      <c r="C24" s="3517">
        <v>2413.5100000000002</v>
      </c>
      <c r="D24" s="3517" t="s">
        <v>4225</v>
      </c>
      <c r="E24" s="3516"/>
      <c r="F24" s="3516"/>
      <c r="G24" s="3515" t="s">
        <v>4396</v>
      </c>
      <c r="H24" s="3515">
        <f>基准地价修正办!C33</f>
        <v>0</v>
      </c>
    </row>
    <row r="25" spans="2:15">
      <c r="B25" s="3517" t="s">
        <v>4233</v>
      </c>
      <c r="C25" s="3517">
        <v>2413.5100000000002</v>
      </c>
      <c r="D25" s="3517" t="s">
        <v>4225</v>
      </c>
      <c r="E25" s="3516"/>
      <c r="F25" s="3516"/>
      <c r="G25" s="3515" t="s">
        <v>4397</v>
      </c>
      <c r="H25" s="3515">
        <v>30520</v>
      </c>
    </row>
    <row r="26" spans="2:15">
      <c r="B26" s="3517" t="s">
        <v>4234</v>
      </c>
      <c r="C26" s="3517">
        <v>2413.5100000000002</v>
      </c>
      <c r="D26" s="3517" t="s">
        <v>4225</v>
      </c>
      <c r="E26" s="3516"/>
      <c r="F26" s="3516"/>
      <c r="G26" s="3515">
        <v>1</v>
      </c>
      <c r="H26" s="3515">
        <f>基准地价修正!T2</f>
        <v>0</v>
      </c>
      <c r="I26" s="3515">
        <v>1.5206</v>
      </c>
    </row>
    <row r="27" spans="2:15">
      <c r="B27" s="3517" t="s">
        <v>4235</v>
      </c>
      <c r="C27" s="3517">
        <v>2413.5100000000002</v>
      </c>
      <c r="D27" s="3517" t="s">
        <v>4225</v>
      </c>
      <c r="E27" s="3516"/>
      <c r="F27" s="3516"/>
      <c r="G27" s="3515">
        <v>2</v>
      </c>
      <c r="H27" s="3515">
        <f>基准地价修正!T3</f>
        <v>0</v>
      </c>
      <c r="I27" s="3515">
        <v>1.2072000000000001</v>
      </c>
    </row>
    <row r="28" spans="2:15">
      <c r="B28" s="3517" t="s">
        <v>4236</v>
      </c>
      <c r="C28" s="3517">
        <v>2413.5100000000002</v>
      </c>
      <c r="D28" s="3517" t="s">
        <v>4225</v>
      </c>
      <c r="E28" s="3516"/>
      <c r="F28" s="3516"/>
      <c r="G28" s="3515">
        <v>3</v>
      </c>
      <c r="H28" s="3515">
        <f>基准地价修正!T4</f>
        <v>0</v>
      </c>
      <c r="I28" s="3515">
        <v>1.0430999999999999</v>
      </c>
    </row>
    <row r="29" spans="2:15">
      <c r="B29" s="3517" t="s">
        <v>4237</v>
      </c>
      <c r="C29" s="3517">
        <v>2413.5100000000002</v>
      </c>
      <c r="D29" s="3517" t="s">
        <v>4225</v>
      </c>
      <c r="E29" s="3516"/>
      <c r="F29" s="3516"/>
      <c r="G29" s="3515">
        <v>4</v>
      </c>
      <c r="H29" s="3515">
        <f>基准地价修正!T5</f>
        <v>0</v>
      </c>
      <c r="I29" s="3515">
        <v>0.94389999999999996</v>
      </c>
    </row>
    <row r="30" spans="2:15">
      <c r="B30" s="3517" t="s">
        <v>4238</v>
      </c>
      <c r="C30" s="3517">
        <v>3925.21</v>
      </c>
      <c r="D30" s="3517" t="s">
        <v>4225</v>
      </c>
      <c r="E30" s="3516"/>
      <c r="F30" s="3516"/>
      <c r="G30" s="3515">
        <v>5</v>
      </c>
      <c r="H30" s="3515">
        <f>基准地价修正!T6</f>
        <v>0</v>
      </c>
      <c r="I30" s="3515">
        <v>0.89959999999999996</v>
      </c>
    </row>
    <row r="31" spans="2:15">
      <c r="B31" s="3517" t="s">
        <v>4239</v>
      </c>
      <c r="C31" s="3517">
        <f>SUM(C12:C30)</f>
        <v>53779.260000000024</v>
      </c>
      <c r="D31" s="3517"/>
      <c r="E31" s="3516"/>
      <c r="F31" s="3516"/>
      <c r="G31" s="3515" t="s">
        <v>4398</v>
      </c>
      <c r="H31" s="3515">
        <f>基准地价修正!C37</f>
        <v>0</v>
      </c>
      <c r="I31" s="3515">
        <v>0.7</v>
      </c>
      <c r="J31" s="3568">
        <v>1</v>
      </c>
    </row>
    <row r="32" spans="2:15">
      <c r="B32" s="3518"/>
      <c r="C32" s="3518"/>
      <c r="D32" s="3518"/>
      <c r="E32" s="3516"/>
      <c r="F32" s="3516"/>
      <c r="G32" s="3515" t="s">
        <v>4399</v>
      </c>
      <c r="H32" s="3515">
        <f>基准地价修正办!G42</f>
        <v>0</v>
      </c>
      <c r="I32" s="3515">
        <v>0.2</v>
      </c>
      <c r="J32" s="3568">
        <v>1</v>
      </c>
    </row>
    <row r="33" spans="2:28" ht="17.25" thickBot="1">
      <c r="B33" s="3517" t="s">
        <v>4240</v>
      </c>
      <c r="C33" s="3517">
        <v>6877.51</v>
      </c>
      <c r="D33" s="3517" t="s">
        <v>4241</v>
      </c>
      <c r="E33" s="3516"/>
      <c r="F33" s="3516"/>
    </row>
    <row r="34" spans="2:28">
      <c r="B34" s="3517" t="s">
        <v>4242</v>
      </c>
      <c r="C34" s="3517">
        <v>7475.14</v>
      </c>
      <c r="D34" s="3517" t="s">
        <v>4243</v>
      </c>
      <c r="E34" s="3516"/>
      <c r="F34" s="3516"/>
      <c r="O34" s="3515">
        <f ca="1">系统读取表!D14</f>
        <v>571879</v>
      </c>
      <c r="U34" s="3575" t="s">
        <v>4411</v>
      </c>
      <c r="V34" s="3576"/>
      <c r="W34" s="3576"/>
      <c r="X34" s="3576" t="s">
        <v>4413</v>
      </c>
      <c r="Y34" s="3576"/>
      <c r="Z34" s="3576"/>
      <c r="AA34" s="3577"/>
    </row>
    <row r="35" spans="2:28">
      <c r="B35" s="3517" t="s">
        <v>4244</v>
      </c>
      <c r="C35" s="3517">
        <v>7125.95</v>
      </c>
      <c r="D35" s="3517" t="s">
        <v>4243</v>
      </c>
      <c r="E35" s="3516"/>
      <c r="F35" s="3516"/>
      <c r="G35" s="3516" t="s">
        <v>4209</v>
      </c>
      <c r="H35" s="3516"/>
      <c r="I35" s="3516"/>
      <c r="J35" s="3570" t="s">
        <v>4392</v>
      </c>
      <c r="K35" s="3570"/>
      <c r="L35" s="3570" t="s">
        <v>4393</v>
      </c>
      <c r="M35" s="3570"/>
      <c r="N35" s="3570" t="s">
        <v>4404</v>
      </c>
      <c r="O35" s="3570" t="s">
        <v>4405</v>
      </c>
      <c r="P35" s="3570"/>
      <c r="Q35" s="3570"/>
      <c r="R35" s="3570" t="s">
        <v>4406</v>
      </c>
      <c r="S35" s="3570"/>
      <c r="U35" s="3578"/>
      <c r="V35" s="3573"/>
      <c r="W35" s="3573" t="s">
        <v>4407</v>
      </c>
      <c r="X35" s="3573" t="s">
        <v>4408</v>
      </c>
      <c r="Y35" s="3573" t="s">
        <v>4409</v>
      </c>
      <c r="Z35" s="3573" t="s">
        <v>4410</v>
      </c>
      <c r="AA35" s="3579" t="s">
        <v>4417</v>
      </c>
    </row>
    <row r="36" spans="2:28">
      <c r="B36" s="3518" t="s">
        <v>4245</v>
      </c>
      <c r="C36" s="3518">
        <f>SUM(C33:C35)</f>
        <v>21478.600000000002</v>
      </c>
      <c r="D36" s="3518"/>
      <c r="E36" s="3516"/>
      <c r="F36" s="3516"/>
      <c r="G36" s="3517" t="s">
        <v>4211</v>
      </c>
      <c r="H36" s="3517">
        <v>1818.27</v>
      </c>
      <c r="I36" s="3517" t="s">
        <v>4210</v>
      </c>
      <c r="J36" s="3570">
        <f>ROUND(H36*K36/10000,0)</f>
        <v>0</v>
      </c>
      <c r="K36" s="3570">
        <f>H26</f>
        <v>0</v>
      </c>
      <c r="L36" s="3570">
        <f ca="1">ROUND(M36*H36/10000,0)</f>
        <v>1520</v>
      </c>
      <c r="M36" s="3570">
        <f ca="1">收益法!I35</f>
        <v>8359.1592626534002</v>
      </c>
      <c r="N36" s="3570">
        <f ca="1">J36+L36</f>
        <v>1520</v>
      </c>
      <c r="O36" s="3570">
        <f ca="1">ROUND($O$34*N36/$N$55,0)</f>
        <v>12511</v>
      </c>
      <c r="P36" s="3570">
        <f ca="1">O36*10000/H36</f>
        <v>68807.162852601643</v>
      </c>
      <c r="Q36" s="3570"/>
      <c r="R36" s="3570" t="e">
        <f ca="1">$O$34*J36/$J$55</f>
        <v>#DIV/0!</v>
      </c>
      <c r="S36" s="3570" t="e">
        <f ca="1">R36*10000/H36</f>
        <v>#DIV/0!</v>
      </c>
      <c r="U36" s="3578">
        <f ca="1">取值过程!N32</f>
        <v>13492</v>
      </c>
      <c r="V36" s="3573"/>
      <c r="W36" s="3573">
        <f ca="1">ROUND($W$57*U36/$U$56,0)</f>
        <v>16999</v>
      </c>
      <c r="X36" s="3573">
        <f ca="1">L36</f>
        <v>1520</v>
      </c>
      <c r="Y36" s="3573">
        <f ca="1">X36+W36</f>
        <v>18519</v>
      </c>
      <c r="Z36" s="3573">
        <f t="shared" ref="Z36:Z41" ca="1" si="1">ROUND(Y36*10000/H36,0)</f>
        <v>101850</v>
      </c>
      <c r="AA36" s="3579">
        <f ca="1">ROUND($AA$57*Y36/$Y$54,0)</f>
        <v>16640</v>
      </c>
    </row>
    <row r="37" spans="2:28">
      <c r="B37" s="3518"/>
      <c r="C37" s="3519"/>
      <c r="D37" s="3518"/>
      <c r="E37" s="3516"/>
      <c r="F37" s="3516"/>
      <c r="G37" s="3517" t="s">
        <v>4212</v>
      </c>
      <c r="H37" s="3517">
        <v>1675.48</v>
      </c>
      <c r="I37" s="3517" t="s">
        <v>4210</v>
      </c>
      <c r="J37" s="3570">
        <f>ROUND(H37*K37/10000,0)</f>
        <v>0</v>
      </c>
      <c r="K37" s="3570">
        <f t="shared" ref="K37:K40" si="2">H27</f>
        <v>0</v>
      </c>
      <c r="L37" s="3570">
        <f ca="1">ROUND(M37*H37/10000,0)</f>
        <v>1401</v>
      </c>
      <c r="M37" s="3570">
        <f ca="1">M36</f>
        <v>8359.1592626534002</v>
      </c>
      <c r="N37" s="3570">
        <f t="shared" ref="N37:N40" ca="1" si="3">J37+L37</f>
        <v>1401</v>
      </c>
      <c r="O37" s="3570">
        <f ca="1">ROUND($O$34*N37/$N$55,0)</f>
        <v>11532</v>
      </c>
      <c r="P37" s="3570">
        <f t="shared" ref="P37:P40" ca="1" si="4">O37*10000/H37</f>
        <v>68828.037338553724</v>
      </c>
      <c r="Q37" s="3570"/>
      <c r="R37" s="3570" t="e">
        <f ca="1">$O$34*J37/$J$55</f>
        <v>#DIV/0!</v>
      </c>
      <c r="S37" s="3570" t="e">
        <f t="shared" ref="S37:S40" ca="1" si="5">R37*10000/H37</f>
        <v>#DIV/0!</v>
      </c>
      <c r="U37" s="3578">
        <f ca="1">取值过程!N33</f>
        <v>12433</v>
      </c>
      <c r="V37" s="3573"/>
      <c r="W37" s="3573">
        <f ca="1">ROUND($W$57*U37/$U$56,0)</f>
        <v>15665</v>
      </c>
      <c r="X37" s="3573">
        <f t="shared" ref="X37:X40" ca="1" si="6">L37</f>
        <v>1401</v>
      </c>
      <c r="Y37" s="3573">
        <f t="shared" ref="Y37:Y40" ca="1" si="7">X37+W37</f>
        <v>17066</v>
      </c>
      <c r="Z37" s="3573">
        <f t="shared" ca="1" si="1"/>
        <v>101857</v>
      </c>
      <c r="AA37" s="3579">
        <f ca="1">ROUND($AA$57*Y37/$Y$54,0)</f>
        <v>15335</v>
      </c>
    </row>
    <row r="38" spans="2:28">
      <c r="B38" s="3520" t="s">
        <v>4246</v>
      </c>
      <c r="C38" s="3520">
        <f>SUM(C9,C31,C36)</f>
        <v>84373.10000000002</v>
      </c>
      <c r="D38" s="3520"/>
      <c r="E38" s="3516"/>
      <c r="F38" s="3516"/>
      <c r="G38" s="3517" t="s">
        <v>4213</v>
      </c>
      <c r="H38" s="3517">
        <v>1873.83</v>
      </c>
      <c r="I38" s="3517" t="s">
        <v>4210</v>
      </c>
      <c r="J38" s="3570">
        <f>ROUND(H38*K38/10000,0)</f>
        <v>0</v>
      </c>
      <c r="K38" s="3570">
        <f t="shared" si="2"/>
        <v>0</v>
      </c>
      <c r="L38" s="3570">
        <f ca="1">ROUND(M38*H38/10000,0)</f>
        <v>1566</v>
      </c>
      <c r="M38" s="3570">
        <f t="shared" ref="M38:M40" ca="1" si="8">M37</f>
        <v>8359.1592626534002</v>
      </c>
      <c r="N38" s="3570">
        <f t="shared" ca="1" si="3"/>
        <v>1566</v>
      </c>
      <c r="O38" s="3570">
        <f ca="1">ROUND($O$34*N38/$N$55,0)</f>
        <v>12890</v>
      </c>
      <c r="P38" s="3570">
        <f t="shared" ca="1" si="4"/>
        <v>68789.591371682603</v>
      </c>
      <c r="Q38" s="3570"/>
      <c r="R38" s="3570" t="e">
        <f ca="1">$O$34*J38/$J$55</f>
        <v>#DIV/0!</v>
      </c>
      <c r="S38" s="3570" t="e">
        <f t="shared" ca="1" si="5"/>
        <v>#DIV/0!</v>
      </c>
      <c r="U38" s="3578">
        <f ca="1">取值过程!N34</f>
        <v>13905</v>
      </c>
      <c r="V38" s="3573"/>
      <c r="W38" s="3573">
        <f ca="1">ROUND($W$57*U38/$U$56,0)</f>
        <v>17520</v>
      </c>
      <c r="X38" s="3573">
        <f t="shared" ca="1" si="6"/>
        <v>1566</v>
      </c>
      <c r="Y38" s="3573">
        <f t="shared" ca="1" si="7"/>
        <v>19086</v>
      </c>
      <c r="Z38" s="3573">
        <f t="shared" ca="1" si="1"/>
        <v>101856</v>
      </c>
      <c r="AA38" s="3579">
        <f ca="1">ROUND($AA$57*Y38/$Y$54,0)</f>
        <v>17150</v>
      </c>
    </row>
    <row r="39" spans="2:28">
      <c r="G39" s="3517" t="s">
        <v>4215</v>
      </c>
      <c r="H39" s="3517">
        <v>1873.83</v>
      </c>
      <c r="I39" s="3517" t="s">
        <v>4210</v>
      </c>
      <c r="J39" s="3570">
        <f>ROUND(H39*K39/10000,0)</f>
        <v>0</v>
      </c>
      <c r="K39" s="3570">
        <f t="shared" si="2"/>
        <v>0</v>
      </c>
      <c r="L39" s="3570">
        <f ca="1">ROUND(M39*H39/10000,0)</f>
        <v>1566</v>
      </c>
      <c r="M39" s="3570">
        <f t="shared" ca="1" si="8"/>
        <v>8359.1592626534002</v>
      </c>
      <c r="N39" s="3570">
        <f t="shared" ca="1" si="3"/>
        <v>1566</v>
      </c>
      <c r="O39" s="3570">
        <f ca="1">ROUND($O$34*N39/$N$55,0)</f>
        <v>12890</v>
      </c>
      <c r="P39" s="3570">
        <f t="shared" ca="1" si="4"/>
        <v>68789.591371682603</v>
      </c>
      <c r="Q39" s="3570"/>
      <c r="R39" s="3570" t="e">
        <f ca="1">$O$34*J39/$J$55</f>
        <v>#DIV/0!</v>
      </c>
      <c r="S39" s="3570" t="e">
        <f t="shared" ca="1" si="5"/>
        <v>#DIV/0!</v>
      </c>
      <c r="U39" s="3578">
        <f ca="1">取值过程!N35</f>
        <v>13905</v>
      </c>
      <c r="V39" s="3573"/>
      <c r="W39" s="3573">
        <f ca="1">ROUND($W$57*U39/$U$56,0)</f>
        <v>17520</v>
      </c>
      <c r="X39" s="3573">
        <f t="shared" ca="1" si="6"/>
        <v>1566</v>
      </c>
      <c r="Y39" s="3573">
        <f t="shared" ca="1" si="7"/>
        <v>19086</v>
      </c>
      <c r="Z39" s="3573">
        <f t="shared" ca="1" si="1"/>
        <v>101856</v>
      </c>
      <c r="AA39" s="3579">
        <f ca="1">ROUND($AA$57*Y39/$Y$54,0)</f>
        <v>17150</v>
      </c>
    </row>
    <row r="40" spans="2:28">
      <c r="G40" s="3517" t="s">
        <v>4216</v>
      </c>
      <c r="H40" s="3517">
        <v>1873.83</v>
      </c>
      <c r="I40" s="3517" t="s">
        <v>4210</v>
      </c>
      <c r="J40" s="3570">
        <f>ROUND(H40*K40/10000,0)</f>
        <v>0</v>
      </c>
      <c r="K40" s="3570">
        <f t="shared" si="2"/>
        <v>0</v>
      </c>
      <c r="L40" s="3570">
        <f ca="1">ROUND(M40*H40/10000,0)</f>
        <v>1566</v>
      </c>
      <c r="M40" s="3570">
        <f t="shared" ca="1" si="8"/>
        <v>8359.1592626534002</v>
      </c>
      <c r="N40" s="3570">
        <f t="shared" ca="1" si="3"/>
        <v>1566</v>
      </c>
      <c r="O40" s="3570">
        <f ca="1">ROUND($O$34*N40/$N$55,0)</f>
        <v>12890</v>
      </c>
      <c r="P40" s="3570">
        <f t="shared" ca="1" si="4"/>
        <v>68789.591371682603</v>
      </c>
      <c r="Q40" s="3570"/>
      <c r="R40" s="3570" t="e">
        <f ca="1">$O$34*J40/$J$55</f>
        <v>#DIV/0!</v>
      </c>
      <c r="S40" s="3570" t="e">
        <f t="shared" ca="1" si="5"/>
        <v>#DIV/0!</v>
      </c>
      <c r="U40" s="3578">
        <f ca="1">取值过程!N36</f>
        <v>13905</v>
      </c>
      <c r="V40" s="3573"/>
      <c r="W40" s="3573">
        <f ca="1">ROUND($W$57*U40/$U$56,0)</f>
        <v>17520</v>
      </c>
      <c r="X40" s="3573">
        <f t="shared" ca="1" si="6"/>
        <v>1566</v>
      </c>
      <c r="Y40" s="3573">
        <f t="shared" ca="1" si="7"/>
        <v>19086</v>
      </c>
      <c r="Z40" s="3573">
        <f t="shared" ca="1" si="1"/>
        <v>101856</v>
      </c>
      <c r="AA40" s="3579">
        <f ca="1">ROUND($AA$57*Y40/$Y$54,0)</f>
        <v>17150</v>
      </c>
    </row>
    <row r="41" spans="2:28">
      <c r="H41" s="3515">
        <f>SUM(H36:H40)</f>
        <v>9115.24</v>
      </c>
      <c r="J41" s="3570"/>
      <c r="K41" s="3570"/>
      <c r="L41" s="3570"/>
      <c r="M41" s="3570"/>
      <c r="N41" s="3570"/>
      <c r="O41" s="3570"/>
      <c r="P41" s="3570"/>
      <c r="Q41" s="3570"/>
      <c r="R41" s="3570"/>
      <c r="S41" s="3570"/>
      <c r="U41" s="3578"/>
      <c r="V41" s="3573"/>
      <c r="W41" s="3574">
        <f ca="1">SUM(W36:W40)</f>
        <v>85224</v>
      </c>
      <c r="X41" s="3574">
        <f ca="1">SUM(X36:X40)</f>
        <v>7619</v>
      </c>
      <c r="Y41" s="3574">
        <f ca="1">SUM(Y36:Y40)</f>
        <v>92843</v>
      </c>
      <c r="Z41" s="3574">
        <f t="shared" ca="1" si="1"/>
        <v>101855</v>
      </c>
      <c r="AA41" s="3580">
        <f ca="1">SUM(AA36:AA40)</f>
        <v>83425</v>
      </c>
      <c r="AB41" s="3572" t="s">
        <v>4416</v>
      </c>
    </row>
    <row r="42" spans="2:28">
      <c r="G42" s="3518" t="s">
        <v>4217</v>
      </c>
      <c r="H42" s="3518"/>
      <c r="I42" s="3518"/>
      <c r="J42" s="3570"/>
      <c r="K42" s="3570"/>
      <c r="L42" s="3570"/>
      <c r="M42" s="3570"/>
      <c r="N42" s="3570"/>
      <c r="O42" s="3570"/>
      <c r="P42" s="3570"/>
      <c r="Q42" s="3570"/>
      <c r="R42" s="3570"/>
      <c r="S42" s="3570"/>
      <c r="U42" s="3578"/>
      <c r="V42" s="3573"/>
      <c r="W42" s="3573"/>
      <c r="X42" s="3573"/>
      <c r="Y42" s="3573"/>
      <c r="Z42" s="3573"/>
      <c r="AA42" s="3579"/>
    </row>
    <row r="43" spans="2:28">
      <c r="G43" s="3517" t="s">
        <v>4211</v>
      </c>
      <c r="H43" s="3517">
        <v>3343.12</v>
      </c>
      <c r="I43" s="3517" t="s">
        <v>4210</v>
      </c>
      <c r="J43" s="3570">
        <f t="shared" ref="J43:J48" si="9">ROUND(H43*K43/10000,0)</f>
        <v>0</v>
      </c>
      <c r="K43" s="3570">
        <f>H26</f>
        <v>0</v>
      </c>
      <c r="L43" s="3570">
        <f t="shared" ref="L43:L48" ca="1" si="10">ROUND(M43*H43/10000,0)</f>
        <v>2795</v>
      </c>
      <c r="M43" s="3570">
        <f ca="1">M36</f>
        <v>8359.1592626534002</v>
      </c>
      <c r="N43" s="3570">
        <f t="shared" ref="N43:N48" ca="1" si="11">J43+L43</f>
        <v>2795</v>
      </c>
      <c r="O43" s="3570">
        <f t="shared" ref="O43:O48" ca="1" si="12">ROUND($O$34*N43/$N$55,0)</f>
        <v>23006</v>
      </c>
      <c r="P43" s="3570">
        <f t="shared" ref="P43:P48" ca="1" si="13">O43*10000/H43</f>
        <v>68815.956352150097</v>
      </c>
      <c r="Q43" s="3570"/>
      <c r="R43" s="3570" t="e">
        <f t="shared" ref="R43:R48" ca="1" si="14">$O$34*J43/$J$55</f>
        <v>#DIV/0!</v>
      </c>
      <c r="S43" s="3570" t="e">
        <f t="shared" ref="S43:S48" ca="1" si="15">R43*10000/H43</f>
        <v>#DIV/0!</v>
      </c>
      <c r="U43" s="3578">
        <f ca="1">取值过程!N41</f>
        <v>23502</v>
      </c>
      <c r="V43" s="3573"/>
      <c r="W43" s="3573">
        <f ca="1">ROUND($W$57*U43/$U$56,0)</f>
        <v>29611</v>
      </c>
      <c r="X43" s="3573">
        <f t="shared" ref="X43:X48" ca="1" si="16">L43</f>
        <v>2795</v>
      </c>
      <c r="Y43" s="3573">
        <f t="shared" ref="Y43:Y46" ca="1" si="17">X43+W43</f>
        <v>32406</v>
      </c>
      <c r="Z43" s="3573">
        <f t="shared" ref="Z43:Z49" ca="1" si="18">ROUND(Y43*10000/H43,0)</f>
        <v>96933</v>
      </c>
      <c r="AA43" s="3579">
        <f t="shared" ref="AA43:AA48" ca="1" si="19">ROUND($AA$57*Y43/$Y$54,0)</f>
        <v>29118</v>
      </c>
    </row>
    <row r="44" spans="2:28">
      <c r="G44" s="3517" t="s">
        <v>4220</v>
      </c>
      <c r="H44" s="3517">
        <v>3244.08</v>
      </c>
      <c r="I44" s="3517" t="s">
        <v>4210</v>
      </c>
      <c r="J44" s="3570">
        <f t="shared" si="9"/>
        <v>0</v>
      </c>
      <c r="K44" s="3570">
        <f t="shared" ref="K44:K47" si="20">H27</f>
        <v>0</v>
      </c>
      <c r="L44" s="3570">
        <f t="shared" ca="1" si="10"/>
        <v>2712</v>
      </c>
      <c r="M44" s="3570">
        <f ca="1">M43</f>
        <v>8359.1592626534002</v>
      </c>
      <c r="N44" s="3570">
        <f t="shared" ca="1" si="11"/>
        <v>2712</v>
      </c>
      <c r="O44" s="3570">
        <f t="shared" ca="1" si="12"/>
        <v>22323</v>
      </c>
      <c r="P44" s="3570">
        <f t="shared" ca="1" si="13"/>
        <v>68811.496633868461</v>
      </c>
      <c r="Q44" s="3570"/>
      <c r="R44" s="3570" t="e">
        <f t="shared" ca="1" si="14"/>
        <v>#DIV/0!</v>
      </c>
      <c r="S44" s="3570" t="e">
        <f t="shared" ca="1" si="15"/>
        <v>#DIV/0!</v>
      </c>
      <c r="U44" s="3578">
        <f ca="1">取值过程!N42</f>
        <v>17738</v>
      </c>
      <c r="V44" s="3573"/>
      <c r="W44" s="3573">
        <f ca="1">ROUND($W$57*U44/$U$56,0)</f>
        <v>22349</v>
      </c>
      <c r="X44" s="3573">
        <f t="shared" ca="1" si="16"/>
        <v>2712</v>
      </c>
      <c r="Y44" s="3573">
        <f t="shared" ca="1" si="17"/>
        <v>25061</v>
      </c>
      <c r="Z44" s="3573">
        <f t="shared" ca="1" si="18"/>
        <v>77251</v>
      </c>
      <c r="AA44" s="3579">
        <f t="shared" ca="1" si="19"/>
        <v>22519</v>
      </c>
    </row>
    <row r="45" spans="2:28">
      <c r="G45" s="3517" t="s">
        <v>4221</v>
      </c>
      <c r="H45" s="3517">
        <v>3963.74</v>
      </c>
      <c r="I45" s="3517" t="s">
        <v>4210</v>
      </c>
      <c r="J45" s="3570">
        <f t="shared" si="9"/>
        <v>0</v>
      </c>
      <c r="K45" s="3570">
        <f t="shared" si="20"/>
        <v>0</v>
      </c>
      <c r="L45" s="3570">
        <f t="shared" ca="1" si="10"/>
        <v>3313</v>
      </c>
      <c r="M45" s="3570">
        <f t="shared" ref="M45:M48" ca="1" si="21">M44</f>
        <v>8359.1592626534002</v>
      </c>
      <c r="N45" s="3570">
        <f t="shared" ca="1" si="11"/>
        <v>3313</v>
      </c>
      <c r="O45" s="3570">
        <f t="shared" ca="1" si="12"/>
        <v>27270</v>
      </c>
      <c r="P45" s="3570">
        <f t="shared" ca="1" si="13"/>
        <v>68798.659851554345</v>
      </c>
      <c r="Q45" s="3570"/>
      <c r="R45" s="3570" t="e">
        <f t="shared" ca="1" si="14"/>
        <v>#DIV/0!</v>
      </c>
      <c r="S45" s="3570" t="e">
        <f t="shared" ca="1" si="15"/>
        <v>#DIV/0!</v>
      </c>
      <c r="U45" s="3578">
        <f ca="1">取值过程!N43</f>
        <v>20899</v>
      </c>
      <c r="V45" s="3573"/>
      <c r="W45" s="3573">
        <f ca="1">ROUND($W$57*U45/$U$56,0)</f>
        <v>26332</v>
      </c>
      <c r="X45" s="3573">
        <f t="shared" ca="1" si="16"/>
        <v>3313</v>
      </c>
      <c r="Y45" s="3573">
        <f t="shared" ca="1" si="17"/>
        <v>29645</v>
      </c>
      <c r="Z45" s="3573">
        <f t="shared" ca="1" si="18"/>
        <v>74790</v>
      </c>
      <c r="AA45" s="3579">
        <f t="shared" ca="1" si="19"/>
        <v>26637</v>
      </c>
    </row>
    <row r="46" spans="2:28">
      <c r="G46" s="3517" t="s">
        <v>4222</v>
      </c>
      <c r="H46" s="3517">
        <v>3963.74</v>
      </c>
      <c r="I46" s="3517" t="s">
        <v>4210</v>
      </c>
      <c r="J46" s="3570">
        <f t="shared" si="9"/>
        <v>0</v>
      </c>
      <c r="K46" s="3570">
        <f t="shared" si="20"/>
        <v>0</v>
      </c>
      <c r="L46" s="3570">
        <f t="shared" ca="1" si="10"/>
        <v>3313</v>
      </c>
      <c r="M46" s="3570">
        <f t="shared" ca="1" si="21"/>
        <v>8359.1592626534002</v>
      </c>
      <c r="N46" s="3570">
        <f t="shared" ca="1" si="11"/>
        <v>3313</v>
      </c>
      <c r="O46" s="3570">
        <f t="shared" ca="1" si="12"/>
        <v>27270</v>
      </c>
      <c r="P46" s="3570">
        <f t="shared" ca="1" si="13"/>
        <v>68798.659851554345</v>
      </c>
      <c r="Q46" s="3570"/>
      <c r="R46" s="3570" t="e">
        <f t="shared" ca="1" si="14"/>
        <v>#DIV/0!</v>
      </c>
      <c r="S46" s="3570" t="e">
        <f t="shared" ca="1" si="15"/>
        <v>#DIV/0!</v>
      </c>
      <c r="U46" s="3578">
        <f ca="1">取值过程!N44</f>
        <v>20899</v>
      </c>
      <c r="V46" s="3573"/>
      <c r="W46" s="3573">
        <f ca="1">ROUND($W$57*U46/$U$56,0)</f>
        <v>26332</v>
      </c>
      <c r="X46" s="3573">
        <f t="shared" ca="1" si="16"/>
        <v>3313</v>
      </c>
      <c r="Y46" s="3573">
        <f t="shared" ca="1" si="17"/>
        <v>29645</v>
      </c>
      <c r="Z46" s="3573">
        <f t="shared" ca="1" si="18"/>
        <v>74790</v>
      </c>
      <c r="AA46" s="3579">
        <f t="shared" ca="1" si="19"/>
        <v>26637</v>
      </c>
    </row>
    <row r="47" spans="2:28">
      <c r="G47" s="3517" t="s">
        <v>4223</v>
      </c>
      <c r="H47" s="3517">
        <v>3963.74</v>
      </c>
      <c r="I47" s="3517" t="s">
        <v>4210</v>
      </c>
      <c r="J47" s="3570">
        <f t="shared" si="9"/>
        <v>0</v>
      </c>
      <c r="K47" s="3570">
        <f t="shared" si="20"/>
        <v>0</v>
      </c>
      <c r="L47" s="3570">
        <f t="shared" ca="1" si="10"/>
        <v>3313</v>
      </c>
      <c r="M47" s="3570">
        <f t="shared" ca="1" si="21"/>
        <v>8359.1592626534002</v>
      </c>
      <c r="N47" s="3570">
        <f t="shared" ca="1" si="11"/>
        <v>3313</v>
      </c>
      <c r="O47" s="3570">
        <f t="shared" ca="1" si="12"/>
        <v>27270</v>
      </c>
      <c r="P47" s="3570">
        <f t="shared" ca="1" si="13"/>
        <v>68798.659851554345</v>
      </c>
      <c r="Q47" s="3570"/>
      <c r="R47" s="3570" t="e">
        <f t="shared" ca="1" si="14"/>
        <v>#DIV/0!</v>
      </c>
      <c r="S47" s="3570" t="e">
        <f t="shared" ca="1" si="15"/>
        <v>#DIV/0!</v>
      </c>
      <c r="U47" s="3578">
        <f ca="1">取值过程!N45</f>
        <v>20899</v>
      </c>
      <c r="V47" s="3573"/>
      <c r="W47" s="3573">
        <f ca="1">ROUND($W$57*U47/$U$56,0)</f>
        <v>26332</v>
      </c>
      <c r="X47" s="3573">
        <f t="shared" ca="1" si="16"/>
        <v>3313</v>
      </c>
      <c r="Y47" s="3573">
        <f ca="1">X47+W47</f>
        <v>29645</v>
      </c>
      <c r="Z47" s="3573">
        <f t="shared" ca="1" si="18"/>
        <v>74790</v>
      </c>
      <c r="AA47" s="3579">
        <f t="shared" ca="1" si="19"/>
        <v>26637</v>
      </c>
    </row>
    <row r="48" spans="2:28">
      <c r="G48" s="3567" t="s">
        <v>4403</v>
      </c>
      <c r="H48" s="3567">
        <f>SUM(C17:C30)</f>
        <v>35300.840000000011</v>
      </c>
      <c r="I48" s="3567" t="s">
        <v>4396</v>
      </c>
      <c r="J48" s="3570">
        <f t="shared" si="9"/>
        <v>0</v>
      </c>
      <c r="K48" s="3570">
        <f>H24</f>
        <v>0</v>
      </c>
      <c r="L48" s="3570">
        <f t="shared" ca="1" si="10"/>
        <v>29509</v>
      </c>
      <c r="M48" s="3570">
        <f t="shared" ca="1" si="21"/>
        <v>8359.1592626534002</v>
      </c>
      <c r="N48" s="3570">
        <f t="shared" ca="1" si="11"/>
        <v>29509</v>
      </c>
      <c r="O48" s="3570">
        <f t="shared" ca="1" si="12"/>
        <v>242891</v>
      </c>
      <c r="P48" s="3570">
        <f t="shared" ca="1" si="13"/>
        <v>68806.011415025801</v>
      </c>
      <c r="Q48" s="3570"/>
      <c r="R48" s="3570" t="e">
        <f t="shared" ca="1" si="14"/>
        <v>#DIV/0!</v>
      </c>
      <c r="S48" s="3570" t="e">
        <f t="shared" ca="1" si="15"/>
        <v>#DIV/0!</v>
      </c>
      <c r="U48" s="3578"/>
      <c r="V48" s="3573"/>
      <c r="W48" s="3571">
        <f ca="1">Y48-X48</f>
        <v>264905</v>
      </c>
      <c r="X48" s="3573">
        <f t="shared" ca="1" si="16"/>
        <v>29509</v>
      </c>
      <c r="Y48" s="3571">
        <f ca="1">收益法办!B2</f>
        <v>294414</v>
      </c>
      <c r="Z48" s="3573">
        <f t="shared" ca="1" si="18"/>
        <v>83401</v>
      </c>
      <c r="AA48" s="3579">
        <f t="shared" ca="1" si="19"/>
        <v>264545</v>
      </c>
      <c r="AB48" s="3572" t="s">
        <v>4414</v>
      </c>
    </row>
    <row r="49" spans="7:28">
      <c r="H49" s="3515">
        <f>SUM(H43:H48)</f>
        <v>53779.260000000009</v>
      </c>
      <c r="J49" s="3570"/>
      <c r="K49" s="3570"/>
      <c r="L49" s="3570"/>
      <c r="M49" s="3570"/>
      <c r="N49" s="3570"/>
      <c r="O49" s="3570"/>
      <c r="P49" s="3570"/>
      <c r="Q49" s="3570"/>
      <c r="R49" s="3570"/>
      <c r="S49" s="3570"/>
      <c r="U49" s="3578"/>
      <c r="V49" s="3573"/>
      <c r="W49" s="3574">
        <f ca="1">SUM(W43:W48)</f>
        <v>395861</v>
      </c>
      <c r="X49" s="3574">
        <f ca="1">SUM(X43:X48)</f>
        <v>44955</v>
      </c>
      <c r="Y49" s="3574">
        <f ca="1">SUM(Y43:Y48)</f>
        <v>440816</v>
      </c>
      <c r="Z49" s="3574">
        <f t="shared" ca="1" si="18"/>
        <v>81968</v>
      </c>
      <c r="AA49" s="3580">
        <f ca="1">SUM(AA43:AA48)</f>
        <v>396093</v>
      </c>
    </row>
    <row r="50" spans="7:28">
      <c r="J50" s="3570">
        <f>J55-J51-J52-J53</f>
        <v>0</v>
      </c>
      <c r="K50" s="3570"/>
      <c r="L50" s="3570"/>
      <c r="M50" s="3570"/>
      <c r="N50" s="3570"/>
      <c r="O50" s="3570"/>
      <c r="P50" s="3570"/>
      <c r="Q50" s="3570"/>
      <c r="R50" s="3570"/>
      <c r="S50" s="3570"/>
      <c r="U50" s="3578"/>
      <c r="V50" s="3573"/>
      <c r="W50" s="3574"/>
      <c r="X50" s="3574"/>
      <c r="Y50" s="3574"/>
      <c r="Z50" s="3574"/>
      <c r="AA50" s="3579"/>
    </row>
    <row r="51" spans="7:28">
      <c r="G51" s="3517" t="s">
        <v>4240</v>
      </c>
      <c r="H51" s="3517">
        <v>6877.51</v>
      </c>
      <c r="I51" s="3517" t="s">
        <v>4210</v>
      </c>
      <c r="J51" s="3570">
        <f>ROUND(H51*K51/10000,0)</f>
        <v>0</v>
      </c>
      <c r="K51" s="3570">
        <f>H31</f>
        <v>0</v>
      </c>
      <c r="L51" s="3570">
        <f ca="1">ROUND(M51*H51/10000,0)</f>
        <v>5749</v>
      </c>
      <c r="M51" s="3570">
        <f ca="1">M43</f>
        <v>8359.1592626534002</v>
      </c>
      <c r="N51" s="3570">
        <f t="shared" ref="N51:N53" ca="1" si="22">J51+L51</f>
        <v>5749</v>
      </c>
      <c r="O51" s="3570">
        <f ca="1">ROUND($O$34*N51/$N$55,0)</f>
        <v>47320</v>
      </c>
      <c r="P51" s="3570">
        <f t="shared" ref="P51:P53" ca="1" si="23">O51*10000/H51</f>
        <v>68803.971204694724</v>
      </c>
      <c r="Q51" s="3570"/>
      <c r="R51" s="3570" t="e">
        <f ca="1">$O$34*J51/$J$55</f>
        <v>#DIV/0!</v>
      </c>
      <c r="S51" s="3570" t="e">
        <f t="shared" ref="S51:S53" ca="1" si="24">R51*10000/H51</f>
        <v>#DIV/0!</v>
      </c>
      <c r="U51" s="3578">
        <f ca="1">取值过程!N48</f>
        <v>16920</v>
      </c>
      <c r="V51" s="3573"/>
      <c r="W51" s="3573">
        <f ca="1">ROUND($W$57*U51/$U$56,0)</f>
        <v>21318</v>
      </c>
      <c r="X51" s="3573">
        <f t="shared" ref="X51:X53" ca="1" si="25">L51</f>
        <v>5749</v>
      </c>
      <c r="Y51" s="3573">
        <f ca="1">X51+W51</f>
        <v>27067</v>
      </c>
      <c r="Z51" s="3573">
        <f ca="1">ROUND(Y51*10000/H51,0)</f>
        <v>39356</v>
      </c>
      <c r="AA51" s="3579">
        <f ca="1">ROUND($AA$57*Y51/$Y$54,0)</f>
        <v>24321</v>
      </c>
    </row>
    <row r="52" spans="7:28">
      <c r="G52" s="3517" t="s">
        <v>4242</v>
      </c>
      <c r="H52" s="3517">
        <v>7475.14</v>
      </c>
      <c r="I52" s="3517" t="s">
        <v>4243</v>
      </c>
      <c r="J52" s="3570">
        <f>ROUND(H52*K52/10000,0)</f>
        <v>0</v>
      </c>
      <c r="K52" s="3570">
        <f>基准地价修正办!G42</f>
        <v>0</v>
      </c>
      <c r="L52" s="3570">
        <f ca="1">ROUND(M52*H52/10000,0)</f>
        <v>5711</v>
      </c>
      <c r="M52" s="3570">
        <f ca="1">收益法车!I36</f>
        <v>7639.8405872438288</v>
      </c>
      <c r="N52" s="3570">
        <f t="shared" ca="1" si="22"/>
        <v>5711</v>
      </c>
      <c r="O52" s="3570">
        <f ca="1">ROUND($O$34*N52/$N$55,0)</f>
        <v>47008</v>
      </c>
      <c r="P52" s="3570">
        <f t="shared" ca="1" si="23"/>
        <v>62885.778727890043</v>
      </c>
      <c r="Q52" s="3570"/>
      <c r="R52" s="3570" t="e">
        <f ca="1">$O$34*J52/$J$55</f>
        <v>#DIV/0!</v>
      </c>
      <c r="S52" s="3570" t="e">
        <f t="shared" ca="1" si="24"/>
        <v>#DIV/0!</v>
      </c>
      <c r="U52" s="3578"/>
      <c r="V52" s="3573"/>
      <c r="W52" s="3571">
        <f>J52</f>
        <v>0</v>
      </c>
      <c r="X52" s="3573">
        <f t="shared" ca="1" si="25"/>
        <v>5711</v>
      </c>
      <c r="Y52" s="3571">
        <f ca="1">X52+W52</f>
        <v>5711</v>
      </c>
      <c r="Z52" s="3573">
        <f ca="1">ROUND(Y52*10000/H52,0)</f>
        <v>7640</v>
      </c>
      <c r="AA52" s="3579">
        <f ca="1">ROUND($AA$57*Y52/$Y$54,0)</f>
        <v>5132</v>
      </c>
      <c r="AB52" s="3572" t="s">
        <v>4415</v>
      </c>
    </row>
    <row r="53" spans="7:28">
      <c r="G53" s="3517" t="s">
        <v>4244</v>
      </c>
      <c r="H53" s="3517">
        <v>7125.95</v>
      </c>
      <c r="I53" s="3517" t="s">
        <v>4243</v>
      </c>
      <c r="J53" s="3570">
        <f>ROUNDDOWN(H53*K53/10000,0)</f>
        <v>0</v>
      </c>
      <c r="K53" s="3570">
        <f>K52</f>
        <v>0</v>
      </c>
      <c r="L53" s="3570">
        <f ca="1">ROUND(M53*H53/10000,0)</f>
        <v>5444</v>
      </c>
      <c r="M53" s="3570">
        <f ca="1">M52</f>
        <v>7639.8405872438288</v>
      </c>
      <c r="N53" s="3570">
        <f t="shared" ca="1" si="22"/>
        <v>5444</v>
      </c>
      <c r="O53" s="3570">
        <f ca="1">ROUND($O$34*N53/$N$55,0)</f>
        <v>44810</v>
      </c>
      <c r="P53" s="3570">
        <f t="shared" ca="1" si="23"/>
        <v>62882.843691016635</v>
      </c>
      <c r="Q53" s="3570"/>
      <c r="R53" s="3570" t="e">
        <f ca="1">$O$34*J53/$J$55</f>
        <v>#DIV/0!</v>
      </c>
      <c r="S53" s="3570" t="e">
        <f t="shared" ca="1" si="24"/>
        <v>#DIV/0!</v>
      </c>
      <c r="U53" s="3578"/>
      <c r="V53" s="3573"/>
      <c r="W53" s="3571">
        <f>J53</f>
        <v>0</v>
      </c>
      <c r="X53" s="3573">
        <f t="shared" ca="1" si="25"/>
        <v>5444</v>
      </c>
      <c r="Y53" s="3571">
        <f ca="1">X53+W53</f>
        <v>5444</v>
      </c>
      <c r="Z53" s="3573">
        <f ca="1">ROUND(Y53*10000/H53,0)</f>
        <v>7640</v>
      </c>
      <c r="AA53" s="3579">
        <f ca="1">AA57-AA41-AA49-AA51-AA52</f>
        <v>4890</v>
      </c>
    </row>
    <row r="54" spans="7:28">
      <c r="J54" s="3570"/>
      <c r="K54" s="3570"/>
      <c r="L54" s="3570"/>
      <c r="M54" s="3570"/>
      <c r="N54" s="3570"/>
      <c r="O54" s="3570"/>
      <c r="P54" s="3570"/>
      <c r="Q54" s="3570"/>
      <c r="R54" s="3570"/>
      <c r="S54" s="3570"/>
      <c r="U54" s="3578"/>
      <c r="V54" s="3573" t="s">
        <v>4418</v>
      </c>
      <c r="W54" s="3573">
        <f ca="1">Y54-X54</f>
        <v>502401</v>
      </c>
      <c r="X54" s="3573">
        <f ca="1">X41+X49+X51+X52+X53</f>
        <v>69478</v>
      </c>
      <c r="Y54" s="3573">
        <f ca="1">系统读取表!D14</f>
        <v>571879</v>
      </c>
      <c r="Z54" s="3573"/>
      <c r="AA54" s="3579">
        <f ca="1">AA41+AA49+AA51+AA52+AA53</f>
        <v>513861</v>
      </c>
    </row>
    <row r="55" spans="7:28">
      <c r="J55" s="3570">
        <f>SUM(J36:J40,J43:J48,J51:J53)</f>
        <v>0</v>
      </c>
      <c r="K55" s="3570"/>
      <c r="L55" s="3570">
        <f ca="1">SUM(L36:L40,L43:L48,L51:L53)</f>
        <v>69478</v>
      </c>
      <c r="M55" s="3570"/>
      <c r="N55" s="3570">
        <f ca="1">SUM(N36:N40,N43:N48,N51:N53)</f>
        <v>69478</v>
      </c>
      <c r="O55" s="3570">
        <f ca="1">SUM(O36:O40,O43:O48,O51:O53)</f>
        <v>571881</v>
      </c>
      <c r="P55" s="3570"/>
      <c r="Q55" s="3570"/>
      <c r="R55" s="3570" t="e">
        <f ca="1">SUM(R36:R40,R43:R48,R51:R53)</f>
        <v>#DIV/0!</v>
      </c>
      <c r="S55" s="3570"/>
      <c r="U55" s="3578"/>
      <c r="V55" s="3573"/>
      <c r="W55" s="3573"/>
      <c r="X55" s="3573"/>
      <c r="Y55" s="3573"/>
      <c r="Z55" s="3573"/>
      <c r="AA55" s="3579"/>
    </row>
    <row r="56" spans="7:28">
      <c r="J56" s="3570"/>
      <c r="K56" s="3570"/>
      <c r="L56" s="3570"/>
      <c r="M56" s="3570"/>
      <c r="N56" s="3570"/>
      <c r="O56" s="3570"/>
      <c r="P56" s="3570"/>
      <c r="Q56" s="3570"/>
      <c r="R56" s="3570"/>
      <c r="S56" s="3570"/>
      <c r="U56" s="3578">
        <f ca="1">SUM(U36:U40,U43:U48,U51)</f>
        <v>188497</v>
      </c>
      <c r="V56" s="3573" t="s">
        <v>4420</v>
      </c>
      <c r="W56" s="3573">
        <f ca="1">W48+W52+W53</f>
        <v>264905</v>
      </c>
      <c r="X56" s="3573">
        <f ca="1">X48+X52+X53</f>
        <v>40664</v>
      </c>
      <c r="Y56" s="3573">
        <f ca="1">Y48+Y52+Y53</f>
        <v>305569</v>
      </c>
      <c r="Z56" s="3573"/>
      <c r="AA56" s="3579"/>
    </row>
    <row r="57" spans="7:28">
      <c r="U57" s="3578"/>
      <c r="V57" s="3573" t="s">
        <v>4419</v>
      </c>
      <c r="W57" s="3573">
        <f ca="1">W54-W56</f>
        <v>237496</v>
      </c>
      <c r="X57" s="3573">
        <f t="shared" ref="X57:Y57" ca="1" si="26">X54-X56</f>
        <v>28814</v>
      </c>
      <c r="Y57" s="3573">
        <f t="shared" ca="1" si="26"/>
        <v>266310</v>
      </c>
      <c r="Z57" s="3573"/>
      <c r="AA57" s="3579">
        <f ca="1">系统读取表!B8</f>
        <v>513861</v>
      </c>
    </row>
    <row r="58" spans="7:28">
      <c r="U58" s="3578"/>
      <c r="V58" s="3573" t="s">
        <v>4421</v>
      </c>
      <c r="W58" s="3573">
        <f ca="1">W56+W57</f>
        <v>502401</v>
      </c>
      <c r="X58" s="3573">
        <f t="shared" ref="X58:Y58" ca="1" si="27">X56+X57</f>
        <v>69478</v>
      </c>
      <c r="Y58" s="3573">
        <f t="shared" ca="1" si="27"/>
        <v>571879</v>
      </c>
      <c r="Z58" s="3573"/>
      <c r="AA58" s="3579"/>
    </row>
    <row r="59" spans="7:28">
      <c r="U59" s="3578"/>
      <c r="V59" s="3573"/>
      <c r="W59" s="3573"/>
      <c r="X59" s="3573"/>
      <c r="Y59" s="3573"/>
      <c r="Z59" s="3573"/>
      <c r="AA59" s="3579"/>
    </row>
    <row r="60" spans="7:28" ht="17.25" thickBot="1">
      <c r="U60" s="3581"/>
      <c r="V60" s="3582" t="s">
        <v>4422</v>
      </c>
      <c r="W60" s="3582"/>
      <c r="X60" s="3582"/>
      <c r="Y60" s="3582">
        <f ca="1">Y58-Y53-Y52-Y51</f>
        <v>533657</v>
      </c>
      <c r="Z60" s="3582">
        <f ca="1">Y60*10000/'数据-汇总表'!F31</f>
        <v>84849.549642655547</v>
      </c>
      <c r="AA60" s="3583"/>
    </row>
  </sheetData>
  <mergeCells count="1">
    <mergeCell ref="F18:H18"/>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45491</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571879</v>
      </c>
      <c r="C5" s="2504">
        <f ca="1">IF(B5=D14,结果表!H102,ROUND(B5*10000/$B$1,0))</f>
        <v>67780</v>
      </c>
      <c r="D5" s="2504">
        <f ca="1">ROUND(B5*10000/$B$2,0)</f>
        <v>539921</v>
      </c>
      <c r="E5" s="2657"/>
      <c r="F5" s="2658"/>
      <c r="G5" s="2658"/>
      <c r="H5" s="2659"/>
      <c r="I5" s="2659"/>
      <c r="J5" s="2659"/>
      <c r="K5" s="2659"/>
    </row>
    <row r="6" spans="1:11" ht="16.5">
      <c r="A6" s="2504" t="s">
        <v>656</v>
      </c>
      <c r="B6" s="2504">
        <f ca="1">SUM(G14:G23)</f>
        <v>571879</v>
      </c>
      <c r="C6" s="2504">
        <f ca="1">IF(B6=G14,结果表!H108,ROUND(B6*10000/$B$1,0))</f>
        <v>67780</v>
      </c>
      <c r="D6" s="2504">
        <f ca="1">ROUND(B6*10000/$B$2,0)</f>
        <v>539921</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 ca="1">SUM(I14:I23)</f>
        <v>513861</v>
      </c>
      <c r="C8" s="2504">
        <f ca="1">IF(B8=I14,结果表!H112,ROUND(B8*10000/$B$1,0))</f>
        <v>60903</v>
      </c>
      <c r="D8" s="2504">
        <f ca="1">ROUND(B8*10000/$B$2,0)</f>
        <v>485145</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571879</v>
      </c>
      <c r="E14" s="2510">
        <f ca="1">ROUND(D14*10000/B14,0)</f>
        <v>67780</v>
      </c>
      <c r="F14" s="2510">
        <f ca="1">ROUND(D14*10000/C14,0)</f>
        <v>539921</v>
      </c>
      <c r="G14" s="2510">
        <f ca="1">D14</f>
        <v>571879</v>
      </c>
      <c r="H14" s="2510"/>
      <c r="I14" s="2510">
        <f ca="1">结果表!D126</f>
        <v>513861</v>
      </c>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85" t="str">
        <f>项目基本情况!B1</f>
        <v>北京市西城区西直门外大街南路甲28号房地产市场价值预评估</v>
      </c>
      <c r="C37" s="3585"/>
      <c r="D37" s="3585"/>
      <c r="E37" s="3585"/>
      <c r="F37" s="3585"/>
      <c r="G37" s="3585"/>
      <c r="H37" s="3585"/>
      <c r="I37" s="3585"/>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7" zoomScale="115" zoomScaleNormal="100" zoomScaleSheetLayoutView="115" zoomScalePageLayoutView="80" workbookViewId="0">
      <selection activeCell="H119" sqref="H119:I119"/>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745" t="str">
        <f>项目基本情况!S2</f>
        <v>北京市西城区西直门外大街南路甲28号房地产</v>
      </c>
      <c r="B2" s="3746"/>
      <c r="C2" s="3746"/>
      <c r="D2" s="3746"/>
      <c r="E2" s="3746"/>
      <c r="F2" s="3746"/>
      <c r="G2" s="3746"/>
      <c r="H2" s="3746"/>
      <c r="I2" s="3747"/>
    </row>
    <row r="3" spans="1:12" ht="12.75">
      <c r="A3" s="3749" t="s">
        <v>1264</v>
      </c>
      <c r="B3" s="3750"/>
      <c r="C3" s="3750"/>
      <c r="D3" s="3750"/>
      <c r="E3" s="3750"/>
      <c r="F3" s="3750"/>
      <c r="G3" s="3750"/>
      <c r="H3" s="3750"/>
      <c r="I3" s="3750"/>
    </row>
    <row r="4" spans="1:12" ht="14.25">
      <c r="A4" s="1749" t="s">
        <v>1265</v>
      </c>
      <c r="B4" s="1750" t="s">
        <v>1266</v>
      </c>
      <c r="C4" s="1751" t="s">
        <v>4310</v>
      </c>
      <c r="D4" s="1751" t="s">
        <v>4309</v>
      </c>
      <c r="E4" s="3754" t="s">
        <v>1267</v>
      </c>
      <c r="F4" s="3755"/>
      <c r="G4" s="3755"/>
      <c r="H4" s="3755"/>
      <c r="I4" s="37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3" t="s">
        <v>1268</v>
      </c>
      <c r="B5" s="3748">
        <v>25</v>
      </c>
      <c r="C5" s="3751"/>
      <c r="D5" s="3739"/>
      <c r="E5" s="131" t="s">
        <v>1269</v>
      </c>
      <c r="F5" s="1752"/>
      <c r="G5" s="1752"/>
      <c r="H5" s="1752"/>
      <c r="I5" s="1368"/>
    </row>
    <row r="6" spans="1:12" ht="12.75">
      <c r="A6" s="3693"/>
      <c r="B6" s="3748"/>
      <c r="C6" s="3753"/>
      <c r="D6" s="3739"/>
      <c r="E6" s="131" t="s">
        <v>1270</v>
      </c>
      <c r="F6" s="1752"/>
      <c r="G6" s="1752"/>
      <c r="H6" s="1752"/>
      <c r="I6" s="1368"/>
    </row>
    <row r="7" spans="1:12" ht="12.75">
      <c r="A7" s="3693"/>
      <c r="B7" s="3748"/>
      <c r="C7" s="3752"/>
      <c r="D7" s="3739"/>
      <c r="E7" s="131" t="s">
        <v>1271</v>
      </c>
      <c r="F7" s="1752"/>
      <c r="G7" s="1752"/>
      <c r="H7" s="1752"/>
      <c r="I7" s="1368"/>
    </row>
    <row r="8" spans="1:12" ht="12.75">
      <c r="A8" s="3693" t="s">
        <v>1272</v>
      </c>
      <c r="B8" s="3748">
        <v>15</v>
      </c>
      <c r="C8" s="3751"/>
      <c r="D8" s="3739"/>
      <c r="E8" s="131" t="s">
        <v>1273</v>
      </c>
      <c r="F8" s="1752"/>
      <c r="G8" s="1752"/>
      <c r="H8" s="1752"/>
      <c r="I8" s="1368"/>
    </row>
    <row r="9" spans="1:12" ht="12.75">
      <c r="A9" s="3693"/>
      <c r="B9" s="3748"/>
      <c r="C9" s="3752"/>
      <c r="D9" s="3739"/>
      <c r="E9" s="131" t="s">
        <v>1274</v>
      </c>
      <c r="F9" s="1752"/>
      <c r="G9" s="1752"/>
      <c r="H9" s="1752"/>
      <c r="I9" s="1368"/>
    </row>
    <row r="10" spans="1:12" ht="12.75">
      <c r="A10" s="3693" t="s">
        <v>1275</v>
      </c>
      <c r="B10" s="3748">
        <v>15</v>
      </c>
      <c r="C10" s="3751"/>
      <c r="D10" s="3739"/>
      <c r="E10" s="131" t="s">
        <v>1276</v>
      </c>
      <c r="F10" s="1752"/>
      <c r="G10" s="1752"/>
      <c r="H10" s="1752"/>
      <c r="I10" s="1368"/>
    </row>
    <row r="11" spans="1:12" ht="12.75">
      <c r="A11" s="3693"/>
      <c r="B11" s="3748"/>
      <c r="C11" s="3752"/>
      <c r="D11" s="3739"/>
      <c r="E11" s="131" t="s">
        <v>1277</v>
      </c>
      <c r="F11" s="1752"/>
      <c r="G11" s="1752"/>
      <c r="H11" s="1752"/>
      <c r="I11" s="1368"/>
    </row>
    <row r="12" spans="1:12" ht="12.75">
      <c r="A12" s="3693" t="s">
        <v>1278</v>
      </c>
      <c r="B12" s="3748">
        <v>15</v>
      </c>
      <c r="C12" s="3751"/>
      <c r="D12" s="3739"/>
      <c r="E12" s="131" t="s">
        <v>1279</v>
      </c>
      <c r="F12" s="1752"/>
      <c r="G12" s="1752"/>
      <c r="H12" s="1752"/>
      <c r="I12" s="1368"/>
    </row>
    <row r="13" spans="1:12" ht="12.75">
      <c r="A13" s="3693"/>
      <c r="B13" s="3748"/>
      <c r="C13" s="3752"/>
      <c r="D13" s="3739"/>
      <c r="E13" s="131" t="s">
        <v>1280</v>
      </c>
      <c r="F13" s="1752"/>
      <c r="G13" s="1752"/>
      <c r="H13" s="1752"/>
      <c r="I13" s="1368"/>
    </row>
    <row r="14" spans="1:12" ht="12.75">
      <c r="A14" s="3693" t="s">
        <v>1281</v>
      </c>
      <c r="B14" s="3748">
        <v>30</v>
      </c>
      <c r="C14" s="3751">
        <v>7</v>
      </c>
      <c r="D14" s="3739">
        <v>3</v>
      </c>
      <c r="E14" s="131" t="s">
        <v>1282</v>
      </c>
      <c r="F14" s="1752"/>
      <c r="G14" s="1752"/>
      <c r="H14" s="1752"/>
      <c r="I14" s="1368"/>
    </row>
    <row r="15" spans="1:12" ht="12.75">
      <c r="A15" s="3693"/>
      <c r="B15" s="3748"/>
      <c r="C15" s="3753"/>
      <c r="D15" s="3739"/>
      <c r="E15" s="131" t="s">
        <v>1283</v>
      </c>
      <c r="F15" s="1752"/>
      <c r="G15" s="1752"/>
      <c r="H15" s="1752"/>
      <c r="I15" s="1368"/>
    </row>
    <row r="16" spans="1:12" ht="12.75">
      <c r="A16" s="3693"/>
      <c r="B16" s="3748"/>
      <c r="C16" s="3752"/>
      <c r="D16" s="3739"/>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70" t="s">
        <v>2113</v>
      </c>
      <c r="F18" s="3771"/>
      <c r="G18" s="3771"/>
      <c r="H18" s="3771"/>
      <c r="I18" s="3771"/>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605849</v>
      </c>
      <c r="D19" s="135">
        <f ca="1">SUMIF(INDIRECT("'"&amp;D4&amp;"'"&amp;"!A:A"),结果表!B19,INDIRECT("'"&amp;D4&amp;"'"&amp;"!B:B"))</f>
        <v>492617</v>
      </c>
      <c r="E19" s="1756" t="s">
        <v>1292</v>
      </c>
      <c r="F19" s="1757" t="s">
        <v>1291</v>
      </c>
      <c r="G19" s="136">
        <f ca="1">ROUND(C19*$C$18+D19*$D$18,0)</f>
        <v>571879</v>
      </c>
      <c r="H19" s="1758" t="s">
        <v>1293</v>
      </c>
      <c r="I19" s="129"/>
      <c r="J19" s="3463">
        <f ca="1">N59</f>
        <v>513861</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71806</v>
      </c>
      <c r="D20" s="138">
        <f ca="1">SUMIF(INDIRECT("'"&amp;D4&amp;"'"&amp;"!A:A"),结果表!B20,INDIRECT("'"&amp;D4&amp;"'"&amp;"!B:B"))</f>
        <v>58386</v>
      </c>
      <c r="E20" s="1759"/>
      <c r="F20" s="1022" t="s">
        <v>1295</v>
      </c>
      <c r="G20" s="139">
        <f ca="1">ROUND(C20*$C$18+D20*$D$18,0)</f>
        <v>67780</v>
      </c>
      <c r="H20" s="804" t="s">
        <v>1296</v>
      </c>
      <c r="I20" s="129"/>
      <c r="J20" s="3463" t="s">
        <v>4173</v>
      </c>
    </row>
    <row r="21" spans="1:36" ht="15" customHeight="1" thickBot="1">
      <c r="A21" s="824"/>
      <c r="B21" s="1760" t="s">
        <v>1297</v>
      </c>
      <c r="C21" s="718">
        <f ca="1">ROUND(C19*10000/L19,0)</f>
        <v>571992</v>
      </c>
      <c r="D21" s="719">
        <f ca="1">ROUND(D19*10000/L19,0)</f>
        <v>465088</v>
      </c>
      <c r="E21" s="824"/>
      <c r="F21" s="1760" t="s">
        <v>1297</v>
      </c>
      <c r="G21" s="140">
        <f ca="1">ROUND(G19*10000/L19,0)</f>
        <v>539921</v>
      </c>
      <c r="H21" s="1761" t="s">
        <v>1296</v>
      </c>
      <c r="I21" s="129"/>
      <c r="J21" s="3463"/>
    </row>
    <row r="22" spans="1:36" ht="15" thickBot="1">
      <c r="A22" s="1683" t="s">
        <v>1298</v>
      </c>
      <c r="B22" s="1762"/>
      <c r="C22" s="1763"/>
      <c r="D22" s="720">
        <f ca="1">IF(C19&lt;D19,D19/C19-1,C19/D19-1)</f>
        <v>0.22985808447536327</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763" t="s">
        <v>1299</v>
      </c>
      <c r="B24" s="1757" t="s">
        <v>1291</v>
      </c>
      <c r="C24" s="136">
        <f>IF(B30=0,0,D30)</f>
        <v>0</v>
      </c>
      <c r="D24" s="1764"/>
      <c r="E24" s="129"/>
      <c r="F24" s="129"/>
      <c r="G24" s="129"/>
      <c r="H24" s="129"/>
      <c r="I24" s="129"/>
      <c r="J24" s="3466">
        <v>40000</v>
      </c>
      <c r="K24" s="3467">
        <v>45000</v>
      </c>
      <c r="L24" s="3467">
        <v>48000</v>
      </c>
    </row>
    <row r="25" spans="1:36" ht="14.25">
      <c r="A25" s="3764"/>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c r="J29" s="724">
        <f ca="1">G19*1.05</f>
        <v>600472.95000000007</v>
      </c>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571879</v>
      </c>
      <c r="D32" s="1770" t="s">
        <v>3390</v>
      </c>
      <c r="E32" s="129"/>
      <c r="F32" s="129"/>
      <c r="G32" s="129"/>
      <c r="H32" s="129"/>
      <c r="I32" s="129"/>
    </row>
    <row r="33" spans="1:16" ht="15">
      <c r="A33" s="782" t="s">
        <v>1306</v>
      </c>
      <c r="B33" s="1771"/>
      <c r="C33" s="1772" t="s">
        <v>4349</v>
      </c>
      <c r="D33" s="1773" t="s">
        <v>4304</v>
      </c>
      <c r="E33" s="1774" t="s">
        <v>1307</v>
      </c>
      <c r="F33" s="1775" t="str">
        <f>IF(D32="楼面单价","取值（单价）","取值（总价）")</f>
        <v>取值（总价）</v>
      </c>
      <c r="G33" s="129"/>
      <c r="H33" s="129"/>
      <c r="I33" s="129"/>
    </row>
    <row r="34" spans="1:16" ht="15">
      <c r="A34" s="1776"/>
      <c r="B34" s="1777" t="s">
        <v>1308</v>
      </c>
      <c r="C34" s="148">
        <f ca="1">IF(C33="自定义",F34,C32-C35)</f>
        <v>475803</v>
      </c>
      <c r="D34" s="857">
        <f ca="1">IF(C33="自定义",ROUND(C34/C32,3),IF(C33="收益比率",SUMIF(INDIRECT("'"&amp;D33&amp;"'"&amp;"!b:b"),"土地收益比率",INDIRECT("'"&amp;D33&amp;"'"&amp;"!c:c")),SUMIF(INDIRECT("'"&amp;D33&amp;"'"&amp;"!b:b"),"土地成本比率",INDIRECT("'"&amp;D33&amp;"'"&amp;"!c:c"))))</f>
        <v>0.83199999999999996</v>
      </c>
      <c r="E34" s="1778" t="s">
        <v>1309</v>
      </c>
      <c r="F34" s="1325"/>
      <c r="G34" s="129"/>
      <c r="H34" s="129"/>
      <c r="I34" s="129"/>
      <c r="M34" s="3470"/>
      <c r="N34" s="3463"/>
      <c r="O34" s="3463"/>
      <c r="P34" s="3463">
        <f ca="1">ROUND(P36*10000/L18,0)</f>
        <v>67780</v>
      </c>
    </row>
    <row r="35" spans="1:16" ht="15.75" thickBot="1">
      <c r="A35" s="1779"/>
      <c r="B35" s="1780" t="s">
        <v>1310</v>
      </c>
      <c r="C35" s="1166">
        <f ca="1">IF(C33="自定义",F35,ROUND(C32*D35,0))</f>
        <v>96076</v>
      </c>
      <c r="D35" s="1167">
        <f ca="1">IF(C33="自定义",ROUND(C35/C32,3),IF(C33="收益比率",SUMIF(INDIRECT("'"&amp;D33&amp;"'"&amp;"!b:b"),"建筑物收益比率",INDIRECT("'"&amp;D33&amp;"'"&amp;"!c:c")),SUMIF(INDIRECT("'"&amp;D33&amp;"'"&amp;"!b:b"),"建筑物成本比率",INDIRECT("'"&amp;D33&amp;"'"&amp;"!c:c"))))</f>
        <v>0.16800000000000001</v>
      </c>
      <c r="E35" s="1781" t="s">
        <v>1311</v>
      </c>
      <c r="F35" s="154"/>
      <c r="G35" s="129"/>
      <c r="H35" s="129"/>
      <c r="I35" s="129"/>
      <c r="M35" s="3471"/>
      <c r="N35" s="3472"/>
      <c r="O35" s="3472"/>
      <c r="P35" s="3473" t="s">
        <v>4148</v>
      </c>
    </row>
    <row r="36" spans="1:16" ht="15.75" thickBot="1">
      <c r="A36" s="3740" t="s">
        <v>1312</v>
      </c>
      <c r="B36" s="1782" t="s">
        <v>1313</v>
      </c>
      <c r="C36" s="145"/>
      <c r="D36" s="1783"/>
      <c r="E36" s="1784"/>
      <c r="F36" s="1785"/>
      <c r="G36" s="129"/>
      <c r="H36" s="129"/>
      <c r="I36" s="129"/>
      <c r="M36" s="3472"/>
      <c r="N36" s="3471"/>
      <c r="O36" s="3471"/>
      <c r="P36" s="3474">
        <f ca="1">G19</f>
        <v>571879</v>
      </c>
    </row>
    <row r="37" spans="1:16" ht="15.75" thickBot="1">
      <c r="A37" s="3741"/>
      <c r="B37" s="1669" t="s">
        <v>1314</v>
      </c>
      <c r="C37" s="147"/>
      <c r="D37" s="1135"/>
      <c r="E37" s="1135"/>
      <c r="F37" s="1785"/>
      <c r="G37" s="129"/>
      <c r="H37" s="129"/>
      <c r="I37" s="129"/>
      <c r="M37" s="3472"/>
      <c r="N37" s="3471"/>
      <c r="O37" s="3471"/>
      <c r="P37" s="3474">
        <f ca="1">N59</f>
        <v>513861</v>
      </c>
    </row>
    <row r="38" spans="1:16" ht="15.75" thickBot="1">
      <c r="A38" s="3742"/>
      <c r="B38" s="1786" t="s">
        <v>1315</v>
      </c>
      <c r="C38" s="673"/>
      <c r="D38" s="1787" t="s">
        <v>1316</v>
      </c>
      <c r="E38" s="1135"/>
      <c r="F38" s="1785"/>
      <c r="G38" s="129"/>
      <c r="H38" s="129"/>
      <c r="I38" s="129"/>
      <c r="M38" s="3472"/>
      <c r="N38" s="3471"/>
      <c r="O38" s="3471"/>
      <c r="P38" s="3474">
        <f ca="1">P36-P37</f>
        <v>58018</v>
      </c>
    </row>
    <row r="39" spans="1:16" ht="15">
      <c r="A39" s="1759" t="s">
        <v>1317</v>
      </c>
      <c r="B39" s="1788" t="s">
        <v>1318</v>
      </c>
      <c r="C39" s="1789" t="s">
        <v>1319</v>
      </c>
      <c r="D39" s="1789" t="s">
        <v>1320</v>
      </c>
      <c r="E39" s="1790" t="s">
        <v>1321</v>
      </c>
      <c r="F39" s="1785"/>
      <c r="G39" s="129"/>
      <c r="H39" s="129"/>
      <c r="I39" s="129"/>
      <c r="M39" s="3472"/>
      <c r="N39" s="3471"/>
      <c r="O39" s="3471"/>
      <c r="P39" s="3474">
        <f ca="1">P38/P36</f>
        <v>0.1014515308308226</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60" t="s">
        <v>1326</v>
      </c>
      <c r="B45" s="3761"/>
      <c r="C45" s="3762"/>
      <c r="D45" s="155">
        <f ca="1">ROUND(H101*F45,0)</f>
        <v>571879</v>
      </c>
      <c r="E45" s="156" t="s">
        <v>1327</v>
      </c>
      <c r="F45" s="157">
        <v>1</v>
      </c>
      <c r="G45" s="158" t="s">
        <v>1328</v>
      </c>
      <c r="H45" s="129"/>
      <c r="I45" s="129"/>
      <c r="J45" s="3679" t="s">
        <v>1329</v>
      </c>
      <c r="K45" s="3679"/>
      <c r="L45" s="3679"/>
      <c r="M45" s="3679"/>
      <c r="N45" s="3679"/>
      <c r="O45" s="3679"/>
    </row>
    <row r="46" spans="1:16" ht="14.25" customHeight="1">
      <c r="A46" s="3757" t="s">
        <v>1330</v>
      </c>
      <c r="B46" s="3758"/>
      <c r="C46" s="3758"/>
      <c r="D46" s="3758"/>
      <c r="E46" s="3758"/>
      <c r="F46" s="3758"/>
      <c r="G46" s="3759"/>
      <c r="H46" s="1801"/>
      <c r="I46" s="159"/>
      <c r="J46" s="2515">
        <v>1</v>
      </c>
      <c r="K46" s="3680" t="s">
        <v>1331</v>
      </c>
      <c r="L46" s="3680"/>
      <c r="M46" s="3681"/>
      <c r="N46" s="3681"/>
      <c r="O46" s="3681"/>
    </row>
    <row r="47" spans="1:16" ht="12" customHeight="1">
      <c r="A47" s="160" t="s">
        <v>1332</v>
      </c>
      <c r="B47" s="161"/>
      <c r="C47" s="162"/>
      <c r="D47" s="1083" t="s">
        <v>1333</v>
      </c>
      <c r="E47" s="302" t="s">
        <v>1334</v>
      </c>
      <c r="F47" s="163" t="s">
        <v>1335</v>
      </c>
      <c r="G47" s="2519" t="s">
        <v>1336</v>
      </c>
      <c r="H47" s="2520"/>
      <c r="I47" s="159"/>
      <c r="J47" s="170">
        <v>2</v>
      </c>
      <c r="K47" s="3682" t="s">
        <v>3406</v>
      </c>
      <c r="L47" s="3682"/>
      <c r="M47" s="3683">
        <f>'数据-取费表'!B2</f>
        <v>45491</v>
      </c>
      <c r="N47" s="3683"/>
      <c r="O47" s="3683"/>
    </row>
    <row r="48" spans="1:16" ht="25.5">
      <c r="A48" s="3743" t="s">
        <v>1337</v>
      </c>
      <c r="B48" s="3744"/>
      <c r="C48" s="3744"/>
      <c r="D48" s="2319">
        <f ca="1">IF(H48="情况1",0,IF(H48="情况2",D52,IF(H48="情况3",D53,IF(H48="情况4",D54))))</f>
        <v>30500</v>
      </c>
      <c r="E48" s="2329" t="str">
        <f>IF(H48="情况4","(销售额-原购置价)×税（费）率","销售额×税（费）率")</f>
        <v>销售额×税（费）率</v>
      </c>
      <c r="F48" s="2521">
        <f>IF(H48="情况1","免征",'数据-取费表'!B41)</f>
        <v>5.6000000000000001E-2</v>
      </c>
      <c r="G48" s="2522" t="s">
        <v>1338</v>
      </c>
      <c r="H48" s="2523" t="s">
        <v>4366</v>
      </c>
      <c r="I48" s="1801"/>
      <c r="J48" s="170">
        <v>3</v>
      </c>
      <c r="K48" s="3682" t="s">
        <v>3414</v>
      </c>
      <c r="L48" s="3682"/>
      <c r="M48" s="3684">
        <f ca="1">H101</f>
        <v>571879</v>
      </c>
      <c r="N48" s="3684"/>
      <c r="O48" s="3684"/>
    </row>
    <row r="49" spans="1:35" ht="25.5" customHeight="1">
      <c r="A49" s="2328" t="s">
        <v>1339</v>
      </c>
      <c r="B49" s="3729" t="s">
        <v>1340</v>
      </c>
      <c r="C49" s="3729"/>
      <c r="D49" s="1585">
        <v>0</v>
      </c>
      <c r="E49" s="324" t="s">
        <v>1341</v>
      </c>
      <c r="F49" s="2418" t="s">
        <v>28</v>
      </c>
      <c r="G49" s="3712"/>
      <c r="H49" s="2305" t="s">
        <v>2116</v>
      </c>
      <c r="I49" s="2306"/>
      <c r="J49" s="170">
        <v>4</v>
      </c>
      <c r="K49" s="3682" t="str">
        <f>IF(项目基本情况!E8="房地产抵押价值","房地产抵押价值","抵押担保权已注销时的房地产抵押价值")</f>
        <v>房地产抵押价值</v>
      </c>
      <c r="L49" s="3682"/>
      <c r="M49" s="3684">
        <f ca="1">IF(项目基本情况!E8="房地产抵押价值",H107,H109)</f>
        <v>571879</v>
      </c>
      <c r="N49" s="3684"/>
      <c r="O49" s="3684"/>
    </row>
    <row r="50" spans="1:35" ht="25.5" customHeight="1">
      <c r="A50" s="2524"/>
      <c r="B50" s="3729" t="s">
        <v>1342</v>
      </c>
      <c r="C50" s="3729"/>
      <c r="D50" s="2525"/>
      <c r="E50" s="332"/>
      <c r="F50" s="2418"/>
      <c r="G50" s="3713"/>
      <c r="H50" s="2307" t="s">
        <v>2117</v>
      </c>
      <c r="I50" s="2306"/>
      <c r="J50" s="3684" t="s">
        <v>3407</v>
      </c>
      <c r="K50" s="3684"/>
      <c r="L50" s="3684"/>
      <c r="M50" s="3684"/>
      <c r="N50" s="3684"/>
      <c r="O50" s="3684"/>
    </row>
    <row r="51" spans="1:35" ht="20.45" customHeight="1">
      <c r="A51" s="2526"/>
      <c r="B51" s="3729" t="s">
        <v>1343</v>
      </c>
      <c r="C51" s="3729"/>
      <c r="D51" s="1083"/>
      <c r="E51" s="327"/>
      <c r="F51" s="2418"/>
      <c r="G51" s="3714"/>
      <c r="H51" s="2307" t="s">
        <v>2118</v>
      </c>
      <c r="I51" s="2306"/>
      <c r="J51" s="174" t="s">
        <v>3408</v>
      </c>
      <c r="K51" s="3682" t="s">
        <v>3409</v>
      </c>
      <c r="L51" s="3682"/>
      <c r="M51" s="174" t="s">
        <v>3415</v>
      </c>
      <c r="N51" s="174" t="s">
        <v>3410</v>
      </c>
      <c r="O51" s="174" t="s">
        <v>3411</v>
      </c>
    </row>
    <row r="52" spans="1:35" ht="24" customHeight="1">
      <c r="A52" s="2330" t="s">
        <v>1344</v>
      </c>
      <c r="B52" s="3729" t="s">
        <v>1345</v>
      </c>
      <c r="C52" s="3729"/>
      <c r="D52" s="1083">
        <f ca="1">ROUND(D45*'数据-取费表'!B41/(1+'数据-取费表'!C42),0)</f>
        <v>30500</v>
      </c>
      <c r="E52" s="2329" t="s">
        <v>1346</v>
      </c>
      <c r="F52" s="2527">
        <f>'数据-取费表'!B41</f>
        <v>5.6000000000000001E-2</v>
      </c>
      <c r="G52" s="2528"/>
      <c r="H52" s="2517"/>
      <c r="I52" s="1802"/>
      <c r="J52" s="170">
        <v>1</v>
      </c>
      <c r="K52" s="3706" t="s">
        <v>3416</v>
      </c>
      <c r="L52" s="3706"/>
      <c r="M52" s="170">
        <f ca="1">D48</f>
        <v>30500</v>
      </c>
      <c r="N52" s="170" t="str">
        <f>E48</f>
        <v>销售额×税（费）率</v>
      </c>
      <c r="O52" s="3442">
        <f>F48</f>
        <v>5.6000000000000001E-2</v>
      </c>
    </row>
    <row r="53" spans="1:35" ht="12" customHeight="1">
      <c r="A53" s="2330" t="s">
        <v>1347</v>
      </c>
      <c r="B53" s="3730" t="s">
        <v>2269</v>
      </c>
      <c r="C53" s="3731"/>
      <c r="D53" s="1083">
        <f ca="1">ROUND(D45*'数据-取费表'!B41/(1+'数据-取费表'!C42),0)</f>
        <v>30500</v>
      </c>
      <c r="E53" s="2329" t="s">
        <v>1346</v>
      </c>
      <c r="F53" s="2527">
        <f>'数据-取费表'!B41</f>
        <v>5.6000000000000001E-2</v>
      </c>
      <c r="G53" s="2528"/>
      <c r="H53" s="2517"/>
      <c r="I53" s="1802"/>
      <c r="J53" s="170">
        <v>2</v>
      </c>
      <c r="K53" s="3706" t="s">
        <v>3417</v>
      </c>
      <c r="L53" s="3706"/>
      <c r="M53" s="170">
        <f t="shared" ref="M53:O54" ca="1" si="0">D55</f>
        <v>286</v>
      </c>
      <c r="N53" s="170" t="str">
        <f t="shared" si="0"/>
        <v>销售额×税（费）率</v>
      </c>
      <c r="O53" s="3442">
        <f t="shared" si="0"/>
        <v>5.0000000000000001E-4</v>
      </c>
    </row>
    <row r="54" spans="1:35" ht="12" customHeight="1">
      <c r="A54" s="2330" t="s">
        <v>1348</v>
      </c>
      <c r="B54" s="3730" t="s">
        <v>2270</v>
      </c>
      <c r="C54" s="3731"/>
      <c r="D54" s="1083">
        <f ca="1">C68</f>
        <v>30500</v>
      </c>
      <c r="E54" s="327" t="s">
        <v>1349</v>
      </c>
      <c r="F54" s="2527">
        <f>'数据-取费表'!B41</f>
        <v>5.6000000000000001E-2</v>
      </c>
      <c r="G54" s="2528"/>
      <c r="H54" s="2529"/>
      <c r="I54" s="1802"/>
      <c r="J54" s="170">
        <v>3</v>
      </c>
      <c r="K54" s="3706" t="s">
        <v>3418</v>
      </c>
      <c r="L54" s="3706"/>
      <c r="M54" s="170">
        <f ca="1">D56</f>
        <v>27232</v>
      </c>
      <c r="N54" s="170" t="str">
        <f t="shared" si="0"/>
        <v>增值额×税（费）率</v>
      </c>
      <c r="O54" s="3443" t="str">
        <f t="shared" si="0"/>
        <v>——</v>
      </c>
    </row>
    <row r="55" spans="1:35" ht="24" customHeight="1">
      <c r="A55" s="3766" t="s">
        <v>1350</v>
      </c>
      <c r="B55" s="3744"/>
      <c r="C55" s="3744"/>
      <c r="D55" s="2319">
        <f ca="1">IF(H55="个人住宅",0,ROUND(D45*I55,0))</f>
        <v>286</v>
      </c>
      <c r="E55" s="2329" t="s">
        <v>1351</v>
      </c>
      <c r="F55" s="2527">
        <f>IF(H55="正常",I55,"免征")</f>
        <v>5.0000000000000001E-4</v>
      </c>
      <c r="G55" s="2528"/>
      <c r="H55" s="2523" t="s">
        <v>3391</v>
      </c>
      <c r="I55" s="165">
        <f>'数据-取费表'!B49</f>
        <v>5.0000000000000001E-4</v>
      </c>
      <c r="J55" s="170" t="str">
        <f>IF(H59="非个人房产","",4)</f>
        <v/>
      </c>
      <c r="K55" s="3706" t="str">
        <f>IF(H59="非个人房产","——","个人所得税")</f>
        <v>——</v>
      </c>
      <c r="L55" s="3706"/>
      <c r="M55" s="2025" t="str">
        <f>D59</f>
        <v>——</v>
      </c>
      <c r="N55" s="2025" t="str">
        <f>E59</f>
        <v>——</v>
      </c>
      <c r="O55" s="3444" t="str">
        <f>F59</f>
        <v>——</v>
      </c>
    </row>
    <row r="56" spans="1:35" ht="24.75">
      <c r="A56" s="3766" t="s">
        <v>1352</v>
      </c>
      <c r="B56" s="3744"/>
      <c r="C56" s="3744"/>
      <c r="D56" s="2319">
        <f ca="1">IF(H56="个人住宅",D57,D58)</f>
        <v>27232</v>
      </c>
      <c r="E56" s="2329" t="s">
        <v>1353</v>
      </c>
      <c r="F56" s="2527" t="str">
        <f>IF(H56="正常",F58,"免征")</f>
        <v>——</v>
      </c>
      <c r="G56" s="2530" t="s">
        <v>1354</v>
      </c>
      <c r="H56" s="2531" t="s">
        <v>3391</v>
      </c>
      <c r="I56" s="1803"/>
      <c r="J56" s="170" t="str">
        <f>IF(项目基本情况!K6="上海银行",IF(J55="",4,J55+1),"")</f>
        <v/>
      </c>
      <c r="K56" s="3687" t="str">
        <f>IF(项目基本情况!K6="上海银行","其他处置费用","")</f>
        <v/>
      </c>
      <c r="L56" s="3688"/>
      <c r="M56" s="170" t="str">
        <f>IF(项目基本情况!K6="上海银行",M69,"")</f>
        <v/>
      </c>
      <c r="N56" s="3687" t="str">
        <f>IF(项目基本情况!K6="上海银行","包含处置中涉及的律师、诉讼、拍卖、评估等费用","")</f>
        <v/>
      </c>
      <c r="O56" s="3690"/>
    </row>
    <row r="57" spans="1:35" ht="12.75">
      <c r="A57" s="2330" t="s">
        <v>1339</v>
      </c>
      <c r="B57" s="3730" t="s">
        <v>1355</v>
      </c>
      <c r="C57" s="3731"/>
      <c r="D57" s="1585">
        <v>0</v>
      </c>
      <c r="E57" s="324" t="s">
        <v>1341</v>
      </c>
      <c r="F57" s="302"/>
      <c r="G57" s="2528"/>
      <c r="H57" s="2532"/>
      <c r="I57" s="1803"/>
      <c r="J57" s="3706">
        <f>IF(AND(J55="",J56=""),4,IF(项目基本情况!K6="上海银行",结果表!J56+1,结果表!J55+1))</f>
        <v>4</v>
      </c>
      <c r="K57" s="3706" t="s">
        <v>3419</v>
      </c>
      <c r="L57" s="2553" t="s">
        <v>3412</v>
      </c>
      <c r="M57" s="3445"/>
      <c r="N57" s="3446">
        <f ca="1">SUMIF(M52:M56,"&lt;9e307")</f>
        <v>58018</v>
      </c>
      <c r="O57" s="3447"/>
      <c r="P57" s="2661">
        <f ca="1">N57/M49</f>
        <v>0.1014515308308226</v>
      </c>
    </row>
    <row r="58" spans="1:35" ht="24.75">
      <c r="A58" s="2330" t="s">
        <v>1344</v>
      </c>
      <c r="B58" s="3730" t="s">
        <v>1356</v>
      </c>
      <c r="C58" s="3729"/>
      <c r="D58" s="3481">
        <f ca="1">ROUND(G19/1.05*0.05,0)</f>
        <v>27232</v>
      </c>
      <c r="E58" s="2329" t="s">
        <v>1353</v>
      </c>
      <c r="F58" s="302" t="s">
        <v>28</v>
      </c>
      <c r="G58" s="2528"/>
      <c r="H58" s="2531" t="s">
        <v>4174</v>
      </c>
      <c r="I58" s="1803"/>
      <c r="J58" s="3706"/>
      <c r="K58" s="3706"/>
      <c r="L58" s="2553" t="s">
        <v>3413</v>
      </c>
      <c r="M58" s="2553"/>
      <c r="N58" s="3448" t="str">
        <f ca="1">NUMBERSTRING(INT(N57*10000),2)&amp;"元整"</f>
        <v>伍亿捌仟零壹拾捌万元整</v>
      </c>
      <c r="O58" s="2092"/>
    </row>
    <row r="59" spans="1:35" ht="24.75" thickBot="1">
      <c r="A59" s="3710" t="s">
        <v>1357</v>
      </c>
      <c r="B59" s="3711"/>
      <c r="C59" s="3711"/>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708">
        <f>J57+1</f>
        <v>5</v>
      </c>
      <c r="K59" s="3706" t="s">
        <v>3420</v>
      </c>
      <c r="L59" s="170" t="s">
        <v>3412</v>
      </c>
      <c r="M59" s="3449"/>
      <c r="N59" s="3450">
        <f ca="1">M49-N57</f>
        <v>513861</v>
      </c>
      <c r="O59" s="3451"/>
    </row>
    <row r="60" spans="1:35" ht="12" customHeight="1">
      <c r="A60" s="1804"/>
      <c r="B60" s="1742"/>
      <c r="C60" s="1742"/>
      <c r="D60" s="1742"/>
      <c r="E60" s="1573"/>
      <c r="F60" s="1803"/>
      <c r="G60" s="1803"/>
      <c r="H60" s="1805"/>
      <c r="I60" s="129"/>
      <c r="J60" s="3709"/>
      <c r="K60" s="3706"/>
      <c r="L60" s="2553" t="s">
        <v>3413</v>
      </c>
      <c r="M60" s="2553"/>
      <c r="N60" s="3448" t="str">
        <f ca="1">NUMBERSTRING(INT(N59*10000),2)&amp;"元整"</f>
        <v>伍拾壹亿叁仟捌佰陆拾壹万元整</v>
      </c>
      <c r="O60" s="2092"/>
    </row>
    <row r="61" spans="1:35" ht="13.5" thickBot="1">
      <c r="A61" s="3765" t="s">
        <v>1358</v>
      </c>
      <c r="B61" s="3765"/>
      <c r="C61" s="3765"/>
      <c r="D61" s="3765"/>
      <c r="E61" s="3765"/>
      <c r="F61" s="1803"/>
      <c r="G61" s="1803"/>
      <c r="H61" s="1805"/>
      <c r="I61" s="129"/>
      <c r="J61" s="170">
        <f>J59+1</f>
        <v>6</v>
      </c>
      <c r="K61" s="3706" t="s">
        <v>3421</v>
      </c>
      <c r="L61" s="3706"/>
      <c r="M61" s="3452"/>
      <c r="N61" s="3453">
        <f ca="1">ROUND(N59*10000/'数据-汇总表'!E3,0)</f>
        <v>60903</v>
      </c>
      <c r="O61" s="3454"/>
    </row>
    <row r="62" spans="1:35" ht="12.75">
      <c r="A62" s="3725" t="s">
        <v>1359</v>
      </c>
      <c r="B62" s="3726"/>
      <c r="C62" s="2016"/>
      <c r="D62" s="2016" t="s">
        <v>1360</v>
      </c>
      <c r="E62" s="166" t="s">
        <v>1361</v>
      </c>
      <c r="F62" s="1803"/>
      <c r="G62" s="1803"/>
      <c r="H62" s="1805"/>
      <c r="I62" s="129"/>
    </row>
    <row r="63" spans="1:35" ht="12.75">
      <c r="A63" s="173" t="s">
        <v>330</v>
      </c>
      <c r="B63" s="167" t="s">
        <v>1362</v>
      </c>
      <c r="C63" s="2537">
        <f ca="1">ROUND((C64+C65)/(1+'数据-取费表'!C42),0)</f>
        <v>544647</v>
      </c>
      <c r="D63" s="167"/>
      <c r="E63" s="168"/>
      <c r="F63" s="1803"/>
      <c r="G63" s="1803"/>
      <c r="H63" s="1805"/>
      <c r="I63" s="129"/>
      <c r="J63" s="3689" t="s">
        <v>1363</v>
      </c>
      <c r="K63" s="1327" t="s">
        <v>1364</v>
      </c>
      <c r="L63" s="1327">
        <f ca="1">IF(M49&gt;10000,M49*0.5%,IF(AND(M49&gt;1000,M49&lt;=10000),M49*1%,IF(AND(M49&gt;100,M49&lt;=1000),M49*3%,IF(AND(M49&gt;10,M49&lt;=100),M49*5%,M49*8%))))</f>
        <v>2859.395</v>
      </c>
      <c r="M63" s="302">
        <f ca="1">ROUND(L63,1)</f>
        <v>2859.4</v>
      </c>
      <c r="N63" s="2516"/>
      <c r="Z63" s="1747"/>
      <c r="AI63" s="1748"/>
    </row>
    <row r="64" spans="1:35" ht="14.25" customHeight="1">
      <c r="A64" s="169" t="s">
        <v>325</v>
      </c>
      <c r="B64" s="170" t="s">
        <v>1365</v>
      </c>
      <c r="C64" s="2538">
        <f ca="1">D45</f>
        <v>571879</v>
      </c>
      <c r="D64" s="170" t="s">
        <v>26</v>
      </c>
      <c r="E64" s="172"/>
      <c r="F64" s="1803"/>
      <c r="G64" s="1803"/>
      <c r="H64" s="1805"/>
      <c r="I64" s="129"/>
      <c r="J64" s="3689"/>
      <c r="K64" s="1327" t="s">
        <v>1366</v>
      </c>
      <c r="L64" s="1327">
        <f ca="1">IF(M49&gt;2000,M49*0.5%,IF(AND(M49&gt;1000,M49&lt;=2000),M49*0.6%,IF(AND(M49&gt;500,M49&lt;=1000),M49*0.7%,IF(AND(M49&gt;200,M49&lt;=500),M49*0.8%,IF(AND(M49&gt;100,M49&lt;=200),M49*0.9%,IF(AND(M49&gt;50,M49&lt;=100),M49*1%,IF(AND(M49&gt;20,M49&lt;=50),M49*1.5%,IF(AND(M49&gt;10,M49&lt;=20),M49*2%,IF(AND(M49&gt;1,M49&lt;=10),M49*2.5%)))))))))</f>
        <v>2859.395</v>
      </c>
      <c r="M64" s="302">
        <f t="shared" ref="M64:M65" ca="1" si="1">ROUND(L64,1)</f>
        <v>2859.4</v>
      </c>
      <c r="N64" s="2517" t="s">
        <v>1367</v>
      </c>
      <c r="Z64" s="1747"/>
      <c r="AI64" s="1748"/>
    </row>
    <row r="65" spans="1:35" ht="14.25" customHeight="1">
      <c r="A65" s="169" t="s">
        <v>326</v>
      </c>
      <c r="B65" s="170" t="s">
        <v>1368</v>
      </c>
      <c r="C65" s="2539"/>
      <c r="D65" s="170"/>
      <c r="E65" s="172"/>
      <c r="F65" s="1803"/>
      <c r="G65" s="1803"/>
      <c r="H65" s="1805"/>
      <c r="I65" s="129"/>
      <c r="J65" s="3689"/>
      <c r="K65" s="1327" t="s">
        <v>1369</v>
      </c>
      <c r="L65" s="1327">
        <f ca="1">IF(M49&gt;1000,M49*0.1%,IF(AND(M49&gt;500,M49&lt;=1000),M49*0.5%,IF(AND(M49&gt;50,M49&lt;=500),M49*1%,IF(AND(M49&gt;1,M49&lt;=50),M49*1.5%))))</f>
        <v>571.87900000000002</v>
      </c>
      <c r="M65" s="302">
        <f t="shared" ca="1" si="1"/>
        <v>571.9</v>
      </c>
      <c r="N65" s="2517" t="s">
        <v>1367</v>
      </c>
      <c r="Z65" s="1747"/>
      <c r="AI65" s="1748"/>
    </row>
    <row r="66" spans="1:35" ht="14.25" customHeight="1">
      <c r="A66" s="173" t="s">
        <v>327</v>
      </c>
      <c r="B66" s="174" t="s">
        <v>1370</v>
      </c>
      <c r="C66" s="2540"/>
      <c r="D66" s="174" t="s">
        <v>26</v>
      </c>
      <c r="E66" s="1333" t="s">
        <v>671</v>
      </c>
      <c r="F66" s="1803"/>
      <c r="G66" s="1803"/>
      <c r="H66" s="1805"/>
      <c r="I66" s="129"/>
      <c r="J66" s="3689"/>
      <c r="K66" s="1327" t="s">
        <v>1371</v>
      </c>
      <c r="L66" s="1327">
        <f ca="1">M49*0.5%</f>
        <v>2859.395</v>
      </c>
      <c r="M66" s="302">
        <f ca="1">IF(L66&gt;0.5,0.5,ROUND(L66,0))</f>
        <v>0.5</v>
      </c>
      <c r="N66" s="2517" t="s">
        <v>1372</v>
      </c>
      <c r="Z66" s="1747"/>
      <c r="AI66" s="1748"/>
    </row>
    <row r="67" spans="1:35" ht="14.25" customHeight="1">
      <c r="A67" s="173" t="s">
        <v>328</v>
      </c>
      <c r="B67" s="174" t="s">
        <v>1373</v>
      </c>
      <c r="C67" s="2541">
        <f ca="1">C63-C66</f>
        <v>544647</v>
      </c>
      <c r="D67" s="170" t="s">
        <v>26</v>
      </c>
      <c r="E67" s="172"/>
      <c r="F67" s="1803"/>
      <c r="G67" s="1803"/>
      <c r="H67" s="1805"/>
      <c r="I67" s="129"/>
      <c r="J67" s="3689"/>
      <c r="K67" s="1327" t="s">
        <v>1374</v>
      </c>
      <c r="L67" s="1327">
        <f ca="1">IF(M49&gt;=10000,(8.25+(M49-10000)*0.01%),IF(AND(M49&gt;=8000,M49&lt;10000),(7.85+(M49-8000)*0.02%),IF(AND(M49&gt;=5000,M49&lt;8000),(6.65+(M49-5000)*0.04%),IF(AND(M49&gt;=2000,M49&lt;5000),(4.25+(PM49-2000)*0.08%),IF(AND(M49&gt;=1000,M49&lt;2000),(2.75+(M49-1000)*0.15%),IF(AND(M49&gt;=100,M49&lt;1000),(0.5+(M49-100)*0.25%),IF(AND(M49&gt;0,M49&lt;100),M49*0.5%)))))))</f>
        <v>64.437900000000013</v>
      </c>
      <c r="M67" s="302">
        <f ca="1">ROUND(L67*0.9,1)</f>
        <v>58</v>
      </c>
      <c r="N67" s="2516"/>
      <c r="Z67" s="1747"/>
      <c r="AI67" s="1748"/>
    </row>
    <row r="68" spans="1:35" ht="14.25" customHeight="1" thickBot="1">
      <c r="A68" s="176" t="s">
        <v>329</v>
      </c>
      <c r="B68" s="177" t="s">
        <v>1375</v>
      </c>
      <c r="C68" s="2542">
        <f ca="1">IF(C67&lt;=0,0,ROUND(C67*D68,0))</f>
        <v>30500</v>
      </c>
      <c r="D68" s="2543">
        <f>'数据-取费表'!B41</f>
        <v>5.6000000000000001E-2</v>
      </c>
      <c r="E68" s="178"/>
      <c r="F68" s="1803"/>
      <c r="G68" s="1803"/>
      <c r="H68" s="1805"/>
      <c r="I68" s="129"/>
      <c r="J68" s="3689"/>
      <c r="K68" s="1327" t="s">
        <v>1376</v>
      </c>
      <c r="L68" s="1327">
        <f ca="1">IF(M49&gt;10000,M49*0.5%,IF(AND(M49&gt;5000,M49&lt;=10000),M49*1%,IF(AND(M49&gt;1000,M49&lt;=5000),M49*2%,IF(AND(M49&gt;200,M49&lt;=1000),M49*3%,M49*5%))))</f>
        <v>2859.395</v>
      </c>
      <c r="M68" s="302">
        <f ca="1">ROUND(L68,1)</f>
        <v>2859.4</v>
      </c>
      <c r="N68" s="2516"/>
      <c r="Z68" s="1747"/>
      <c r="AI68" s="1748"/>
    </row>
    <row r="69" spans="1:35" s="1767" customFormat="1" ht="16.5" customHeight="1">
      <c r="A69" s="1806"/>
      <c r="B69" s="1807"/>
      <c r="C69" s="1808"/>
      <c r="D69" s="1809"/>
      <c r="E69" s="1810"/>
      <c r="F69" s="1573"/>
      <c r="G69" s="1573"/>
      <c r="H69" s="1572"/>
      <c r="I69" s="1742"/>
      <c r="J69" s="3689"/>
      <c r="K69" s="1327" t="s">
        <v>1377</v>
      </c>
      <c r="L69" s="1327"/>
      <c r="M69" s="302">
        <f ca="1">ROUND(SUM(M63:M68),0)</f>
        <v>9209</v>
      </c>
      <c r="N69" s="2518">
        <f ca="1">M69/M49</f>
        <v>1.6103056765504591E-2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33" t="s">
        <v>1378</v>
      </c>
      <c r="B70" s="3734"/>
      <c r="C70" s="3734"/>
      <c r="D70" s="3734"/>
      <c r="E70" s="3734"/>
      <c r="F70" s="3734"/>
      <c r="G70" s="3734"/>
      <c r="H70" s="3734"/>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25" t="s">
        <v>1359</v>
      </c>
      <c r="B71" s="3726"/>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544647</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3268</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30" t="s">
        <v>1386</v>
      </c>
      <c r="F76" s="3729"/>
      <c r="G76" s="3729"/>
      <c r="H76" s="373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3268</v>
      </c>
      <c r="D78" s="2549">
        <f>'数据-取费表'!B43</f>
        <v>6.000000000000001E-3</v>
      </c>
      <c r="E78" s="3722" t="s">
        <v>1390</v>
      </c>
      <c r="F78" s="3723"/>
      <c r="G78" s="3723"/>
      <c r="H78" s="372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541379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165.66064871481029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323684</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33" t="s">
        <v>1394</v>
      </c>
      <c r="B83" s="3734"/>
      <c r="C83" s="3734"/>
      <c r="D83" s="3734"/>
      <c r="E83" s="3734"/>
      <c r="F83" s="3734"/>
      <c r="G83" s="3734"/>
      <c r="H83" s="373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25" t="s">
        <v>1359</v>
      </c>
      <c r="B84" s="3726"/>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544647</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791198</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91" t="s">
        <v>2111</v>
      </c>
      <c r="H90" s="3692"/>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722" t="s">
        <v>1403</v>
      </c>
      <c r="F91" s="3723"/>
      <c r="G91" s="3723"/>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722" t="s">
        <v>1406</v>
      </c>
      <c r="F92" s="3723"/>
      <c r="G92" s="3723"/>
      <c r="H92" s="3724"/>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3268</v>
      </c>
      <c r="D93" s="2549">
        <f>'数据-取费表'!B43</f>
        <v>6.000000000000001E-3</v>
      </c>
      <c r="E93" s="3722" t="s">
        <v>1390</v>
      </c>
      <c r="F93" s="3723"/>
      <c r="G93" s="3723"/>
      <c r="H93" s="372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67" t="s">
        <v>1410</v>
      </c>
      <c r="F94" s="3768"/>
      <c r="G94" s="3768"/>
      <c r="H94" s="376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-246551</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68" t="s">
        <v>1412</v>
      </c>
      <c r="B100" s="3669"/>
      <c r="C100" s="3669"/>
      <c r="D100" s="3707"/>
      <c r="E100" s="3669" t="s">
        <v>1413</v>
      </c>
      <c r="F100" s="3669"/>
      <c r="G100" s="3669"/>
      <c r="H100" s="3707"/>
      <c r="I100" s="129"/>
    </row>
    <row r="101" spans="1:35" ht="18.75" customHeight="1">
      <c r="A101" s="3715" t="s">
        <v>1414</v>
      </c>
      <c r="B101" s="3716"/>
      <c r="C101" s="2557" t="str">
        <f>C4</f>
        <v>比较法-办公（大宗）</v>
      </c>
      <c r="D101" s="2558" t="str">
        <f>D4</f>
        <v>收益法（汇总）</v>
      </c>
      <c r="E101" s="3685" t="s">
        <v>1415</v>
      </c>
      <c r="F101" s="3686"/>
      <c r="G101" s="1822" t="s">
        <v>1416</v>
      </c>
      <c r="H101" s="2567">
        <f ca="1">H118</f>
        <v>571879</v>
      </c>
      <c r="I101" s="129"/>
    </row>
    <row r="102" spans="1:35" ht="18.75" customHeight="1">
      <c r="A102" s="3717" t="s">
        <v>1417</v>
      </c>
      <c r="B102" s="2556" t="s">
        <v>1416</v>
      </c>
      <c r="C102" s="2557">
        <f ca="1">IF(D32="楼面单价",ROUND(C19,0),C19)</f>
        <v>605849</v>
      </c>
      <c r="D102" s="2558">
        <f ca="1">IF(D32="楼面单价",ROUND(D19,0),D19)</f>
        <v>492617</v>
      </c>
      <c r="E102" s="3685"/>
      <c r="F102" s="3686"/>
      <c r="G102" s="1822" t="s">
        <v>1418</v>
      </c>
      <c r="H102" s="2528">
        <f ca="1">I118</f>
        <v>67780</v>
      </c>
      <c r="I102" s="129"/>
    </row>
    <row r="103" spans="1:35" ht="42.75" customHeight="1">
      <c r="A103" s="3717"/>
      <c r="B103" s="2556" t="s">
        <v>1418</v>
      </c>
      <c r="C103" s="2559">
        <f ca="1">C20</f>
        <v>71806</v>
      </c>
      <c r="D103" s="2560">
        <f ca="1">D20</f>
        <v>58386</v>
      </c>
      <c r="E103" s="3677" t="s">
        <v>1419</v>
      </c>
      <c r="F103" s="3678"/>
      <c r="G103" s="1823" t="s">
        <v>1420</v>
      </c>
      <c r="H103" s="2567">
        <f>IF(D36="正常操作",H104+H105+H106,H105+H106)</f>
        <v>0</v>
      </c>
      <c r="I103" s="129"/>
    </row>
    <row r="104" spans="1:35" ht="18.75" customHeight="1">
      <c r="A104" s="3717" t="s">
        <v>1421</v>
      </c>
      <c r="B104" s="2561" t="s">
        <v>1416</v>
      </c>
      <c r="C104" s="2562">
        <f ca="1">H118</f>
        <v>571879</v>
      </c>
      <c r="D104" s="2563"/>
      <c r="E104" s="1669" t="s">
        <v>1422</v>
      </c>
      <c r="F104" s="1661"/>
      <c r="G104" s="1823" t="s">
        <v>1420</v>
      </c>
      <c r="H104" s="2568">
        <f>IF(D36="同一抵押权人同一抵押物续贷",C36&amp;"（续贷，未扣减，详见特别提示）",C36)</f>
        <v>0</v>
      </c>
      <c r="I104" s="129"/>
    </row>
    <row r="105" spans="1:35" ht="18.75" customHeight="1" thickBot="1">
      <c r="A105" s="3727"/>
      <c r="B105" s="2564" t="s">
        <v>1418</v>
      </c>
      <c r="C105" s="2565">
        <f ca="1">I118</f>
        <v>67780</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718" t="str">
        <f>IF(项目基本情况!E8="已注销","——","3.房地产抵押价值")</f>
        <v>3.房地产抵押价值</v>
      </c>
      <c r="F107" s="3686"/>
      <c r="G107" s="1822" t="s">
        <v>1416</v>
      </c>
      <c r="H107" s="2567">
        <f ca="1">IF(E107="——","——",H101-H103)</f>
        <v>571879</v>
      </c>
      <c r="I107" s="129"/>
    </row>
    <row r="108" spans="1:35" ht="18.75" customHeight="1">
      <c r="A108" s="129"/>
      <c r="B108" s="129"/>
      <c r="C108" s="129"/>
      <c r="D108" s="129"/>
      <c r="E108" s="3718"/>
      <c r="F108" s="3686"/>
      <c r="G108" s="1822" t="s">
        <v>1418</v>
      </c>
      <c r="H108" s="2528">
        <f ca="1">IF(H107=H101,H102,ROUND(H107*10000/'数据-汇总表'!E3,0))</f>
        <v>67780</v>
      </c>
      <c r="I108" s="129"/>
    </row>
    <row r="109" spans="1:35" ht="18.75" customHeight="1">
      <c r="A109" s="129"/>
      <c r="B109" s="129"/>
      <c r="C109" s="129"/>
      <c r="D109" s="129"/>
      <c r="E109" s="3718" t="str">
        <f>IF(项目基本情况!E8="已注销及未注销","4.抵押担保权已注销时的房地产抵押价值",IF(项目基本情况!E8="已注销","3.抵押担保权已注销时的房地产抵押价值","——"))</f>
        <v>——</v>
      </c>
      <c r="F109" s="3686"/>
      <c r="G109" s="1822" t="s">
        <v>1416</v>
      </c>
      <c r="H109" s="2570" t="str">
        <f>IF(E109="——","——",H101-H105-H106)</f>
        <v>——</v>
      </c>
      <c r="I109" s="129"/>
    </row>
    <row r="110" spans="1:35" ht="18.75" customHeight="1">
      <c r="A110" s="129"/>
      <c r="B110" s="129"/>
      <c r="C110" s="129"/>
      <c r="D110" s="129"/>
      <c r="E110" s="3718"/>
      <c r="F110" s="3686"/>
      <c r="G110" s="1822" t="s">
        <v>1418</v>
      </c>
      <c r="H110" s="2528" t="str">
        <f>IF(H109="——","——",ROUND(H109*10000/'数据-汇总表'!E3,0))</f>
        <v>——</v>
      </c>
      <c r="I110" s="129"/>
    </row>
    <row r="111" spans="1:35" ht="18.75" customHeight="1">
      <c r="A111" s="129"/>
      <c r="B111" s="129"/>
      <c r="C111" s="129"/>
      <c r="D111" s="129"/>
      <c r="E111" s="3719" t="str">
        <f>IF(项目基本情况!E9="抵押净值",IF(OR(项目基本情况!E8="已注销",项目基本情况!E8="房地产抵押价值"),"4.抵押净值","5.抵押净值"),"——")</f>
        <v>4.抵押净值</v>
      </c>
      <c r="F111" s="3705"/>
      <c r="G111" s="1822" t="s">
        <v>1416</v>
      </c>
      <c r="H111" s="2567">
        <f ca="1">IF(E111="——","——",N59)</f>
        <v>513861</v>
      </c>
      <c r="I111" s="129"/>
    </row>
    <row r="112" spans="1:35" ht="18.75" customHeight="1" thickBot="1">
      <c r="A112" s="129"/>
      <c r="B112" s="129"/>
      <c r="C112" s="129"/>
      <c r="D112" s="129"/>
      <c r="E112" s="3720"/>
      <c r="F112" s="3721"/>
      <c r="G112" s="1825" t="s">
        <v>1418</v>
      </c>
      <c r="H112" s="2571">
        <f ca="1">IF(E111="——","——",N61)</f>
        <v>60903</v>
      </c>
      <c r="I112" s="129"/>
    </row>
    <row r="113" spans="1:27" ht="18.75" customHeight="1">
      <c r="A113" s="129"/>
      <c r="B113" s="129"/>
      <c r="C113" s="129"/>
      <c r="D113" s="129"/>
      <c r="E113" s="3728" t="s">
        <v>1424</v>
      </c>
      <c r="F113" s="3728"/>
      <c r="G113" s="3728"/>
      <c r="H113" s="3728"/>
      <c r="I113" s="129"/>
    </row>
    <row r="114" spans="1:27" ht="3.75" customHeight="1">
      <c r="A114" s="1742"/>
      <c r="B114" s="1742"/>
      <c r="C114" s="1742"/>
      <c r="D114" s="1742"/>
      <c r="E114" s="1804"/>
      <c r="F114" s="1804"/>
      <c r="G114" s="1804"/>
      <c r="H114" s="1804"/>
      <c r="I114" s="1742"/>
    </row>
    <row r="115" spans="1:27" ht="18.75" customHeight="1">
      <c r="A115" s="3736" t="s">
        <v>1426</v>
      </c>
      <c r="B115" s="3737"/>
      <c r="C115" s="3737"/>
      <c r="D115" s="3737"/>
      <c r="E115" s="3737"/>
      <c r="F115" s="3737"/>
      <c r="G115" s="3737"/>
      <c r="H115" s="3737"/>
      <c r="I115" s="3738"/>
    </row>
    <row r="116" spans="1:27" ht="27" customHeight="1">
      <c r="A116" s="3693" t="s">
        <v>1427</v>
      </c>
      <c r="B116" s="3697" t="s">
        <v>1428</v>
      </c>
      <c r="C116" s="3697" t="s">
        <v>1429</v>
      </c>
      <c r="D116" s="3703" t="s">
        <v>1430</v>
      </c>
      <c r="E116" s="3704"/>
      <c r="F116" s="3735" t="s">
        <v>1431</v>
      </c>
      <c r="G116" s="3735"/>
      <c r="H116" s="3693" t="s">
        <v>1432</v>
      </c>
      <c r="I116" s="3693"/>
    </row>
    <row r="117" spans="1:27" ht="18.75" customHeight="1">
      <c r="A117" s="3693"/>
      <c r="B117" s="3698"/>
      <c r="C117" s="3698"/>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475803</v>
      </c>
      <c r="E118" s="2324">
        <f ca="1">ROUND(IF(C33="自定义",IF(D32="楼面单价",C34,D118*10000/B118),I118-G118),0)</f>
        <v>56393</v>
      </c>
      <c r="F118" s="2324">
        <f ca="1">ROUND(IF(D32="总价",C35,G118*B118/10000),0)</f>
        <v>96076</v>
      </c>
      <c r="G118" s="2324">
        <f ca="1">ROUND(IF(D32="楼面单价",C35,F118*10000/B118),0)</f>
        <v>11387</v>
      </c>
      <c r="H118" s="2324">
        <f ca="1">ROUND(IF(D32="总价",C32,I118*B118/10000),0)</f>
        <v>571879</v>
      </c>
      <c r="I118" s="2324">
        <f ca="1">ROUND(IF(D32="楼面单价",C32,H118*10000/B118),0)</f>
        <v>67780</v>
      </c>
    </row>
    <row r="119" spans="1:27" ht="18.75" customHeight="1">
      <c r="A119" s="3693" t="s">
        <v>1436</v>
      </c>
      <c r="B119" s="3693"/>
      <c r="C119" s="3693"/>
      <c r="D119" s="3699" t="str">
        <f ca="1">NUMBERSTRING(INT(D118*10000),2)&amp;"元整"</f>
        <v>肆拾柒亿伍仟捌佰零叁万元整</v>
      </c>
      <c r="E119" s="3700"/>
      <c r="F119" s="3699" t="str">
        <f ca="1">NUMBERSTRING(INT(F118*10000),2)&amp;"元整"</f>
        <v>玖亿陆仟零柒拾陆万元整</v>
      </c>
      <c r="G119" s="3700"/>
      <c r="H119" s="3699" t="str">
        <f ca="1">NUMBERSTRING(INT(H118*10000),2)&amp;"元整"</f>
        <v>伍拾柒亿壹仟捌佰柒拾玖万元整</v>
      </c>
      <c r="I119" s="3700"/>
    </row>
    <row r="120" spans="1:27" ht="18.75" customHeight="1">
      <c r="A120" s="3694" t="str">
        <f>IF(项目基本情况!B9="房地产市场价值","",MID(E103,3,LEN(E103)-2))</f>
        <v/>
      </c>
      <c r="B120" s="3695"/>
      <c r="C120" s="3696"/>
      <c r="D120" s="3694">
        <f>H103</f>
        <v>0</v>
      </c>
      <c r="E120" s="3695"/>
      <c r="F120" s="3695"/>
      <c r="G120" s="3695"/>
      <c r="H120" s="3695"/>
      <c r="I120" s="3696"/>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99" t="s">
        <v>1436</v>
      </c>
      <c r="B121" s="3701"/>
      <c r="C121" s="3700"/>
      <c r="D121" s="3699" t="str">
        <f>IF(D120=0,"零元整",NUMBERSTRING(INT(D120*10000),2)&amp;"元整")</f>
        <v>零元整</v>
      </c>
      <c r="E121" s="3701"/>
      <c r="F121" s="3701"/>
      <c r="G121" s="3701"/>
      <c r="H121" s="3701"/>
      <c r="I121" s="3700"/>
      <c r="AA121" s="724"/>
    </row>
    <row r="122" spans="1:27" ht="18.75" customHeight="1">
      <c r="A122" s="3705" t="str">
        <f>IF(项目基本情况!B9="房地产市场价值","",MID(E107,3,LEN(E107)-2))</f>
        <v/>
      </c>
      <c r="B122" s="3705"/>
      <c r="C122" s="3705"/>
      <c r="D122" s="3694">
        <f ca="1">H107</f>
        <v>571879</v>
      </c>
      <c r="E122" s="3695"/>
      <c r="F122" s="3695"/>
      <c r="G122" s="3695"/>
      <c r="H122" s="3695"/>
      <c r="I122" s="3696"/>
      <c r="AA122" s="724"/>
    </row>
    <row r="123" spans="1:27" ht="18.75" customHeight="1">
      <c r="A123" s="3693" t="s">
        <v>1436</v>
      </c>
      <c r="B123" s="3693"/>
      <c r="C123" s="3693"/>
      <c r="D123" s="3699" t="str">
        <f ca="1">NUMBERSTRING(INT(D122*10000),2)&amp;"元整"</f>
        <v>伍拾柒亿壹仟捌佰柒拾玖万元整</v>
      </c>
      <c r="E123" s="3701"/>
      <c r="F123" s="3701"/>
      <c r="G123" s="3701"/>
      <c r="H123" s="3701"/>
      <c r="I123" s="3700"/>
      <c r="AA123" s="724"/>
    </row>
    <row r="124" spans="1:27" ht="18.75" customHeight="1">
      <c r="A124" s="3705" t="str">
        <f>IF(项目基本情况!B9="房地产市场价值","",MID(E109,3,LEN(E109)-2))</f>
        <v/>
      </c>
      <c r="B124" s="3705"/>
      <c r="C124" s="3705"/>
      <c r="D124" s="3694" t="str">
        <f>H109</f>
        <v>——</v>
      </c>
      <c r="E124" s="3695"/>
      <c r="F124" s="3695"/>
      <c r="G124" s="3695"/>
      <c r="H124" s="3695"/>
      <c r="I124" s="3696"/>
      <c r="AA124" s="724"/>
    </row>
    <row r="125" spans="1:27" ht="18.75" customHeight="1">
      <c r="A125" s="3693" t="s">
        <v>1436</v>
      </c>
      <c r="B125" s="3693"/>
      <c r="C125" s="3693"/>
      <c r="D125" s="3699" t="e">
        <f>NUMBERSTRING(INT(D124*10000),2)&amp;"元整"</f>
        <v>#VALUE!</v>
      </c>
      <c r="E125" s="3701"/>
      <c r="F125" s="3701"/>
      <c r="G125" s="3701"/>
      <c r="H125" s="3701"/>
      <c r="I125" s="3700"/>
      <c r="AA125" s="724"/>
    </row>
    <row r="126" spans="1:27" ht="18.75" customHeight="1">
      <c r="A126" s="3705" t="str">
        <f>IF(项目基本情况!B9="房地产市场价值","",MID(E111,3,LEN(E111)-2))</f>
        <v/>
      </c>
      <c r="B126" s="3705"/>
      <c r="C126" s="3705"/>
      <c r="D126" s="3694">
        <f ca="1">H111</f>
        <v>513861</v>
      </c>
      <c r="E126" s="3695"/>
      <c r="F126" s="3695"/>
      <c r="G126" s="3695"/>
      <c r="H126" s="3695"/>
      <c r="I126" s="3696"/>
      <c r="AA126" s="724"/>
    </row>
    <row r="127" spans="1:27" ht="18.75" customHeight="1">
      <c r="A127" s="3693" t="s">
        <v>1436</v>
      </c>
      <c r="B127" s="3693"/>
      <c r="C127" s="3693"/>
      <c r="D127" s="3699" t="str">
        <f ca="1">NUMBERSTRING(INT(D126*10000),2)&amp;"元整"</f>
        <v>伍拾壹亿叁仟捌佰陆拾壹万元整</v>
      </c>
      <c r="E127" s="3701"/>
      <c r="F127" s="3701"/>
      <c r="G127" s="3701"/>
      <c r="H127" s="3701"/>
      <c r="I127" s="3700"/>
      <c r="AA127" s="724"/>
    </row>
    <row r="128" spans="1:27" ht="21.75" customHeight="1">
      <c r="A128" s="3702" t="s">
        <v>1437</v>
      </c>
      <c r="B128" s="3702"/>
      <c r="C128" s="3702"/>
      <c r="D128" s="3702"/>
      <c r="E128" s="3702"/>
      <c r="F128" s="3702"/>
      <c r="G128" s="3702"/>
      <c r="H128" s="3702"/>
      <c r="I128" s="3702"/>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73735.166800000006</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8739</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506239</v>
      </c>
      <c r="D20" s="232"/>
      <c r="E20" s="232"/>
      <c r="F20" s="233">
        <f>'数据-取费表'!B37</f>
        <v>1.4999999999999999E-2</v>
      </c>
      <c r="G20" s="234" t="s">
        <v>1560</v>
      </c>
    </row>
    <row r="21" spans="1:7" s="214" customFormat="1" ht="13.5" customHeight="1">
      <c r="A21" s="255" t="s">
        <v>1561</v>
      </c>
      <c r="B21" s="210" t="s">
        <v>1562</v>
      </c>
      <c r="C21" s="235">
        <f>F21</f>
        <v>1.4999999999999999E-2</v>
      </c>
      <c r="D21" s="236" t="s">
        <v>1563</v>
      </c>
      <c r="E21" s="232"/>
      <c r="F21" s="233">
        <f>'数据-取费表'!B38</f>
        <v>1.4999999999999999E-2</v>
      </c>
      <c r="G21" s="234" t="s">
        <v>1564</v>
      </c>
    </row>
    <row r="22" spans="1:7" s="214" customFormat="1" ht="13.5" customHeight="1">
      <c r="A22" s="255" t="s">
        <v>1565</v>
      </c>
      <c r="B22" s="210" t="s">
        <v>1566</v>
      </c>
      <c r="C22" s="1123">
        <f ca="1">ROUND(SUM(C23:C25),0)</f>
        <v>2386333</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17465</v>
      </c>
      <c r="D25" s="238"/>
      <c r="E25" s="241"/>
      <c r="F25" s="239"/>
      <c r="G25" s="242" t="s">
        <v>1572</v>
      </c>
    </row>
    <row r="26" spans="1:7" s="214" customFormat="1">
      <c r="A26" s="776"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4453212</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ROUND((C5+C19+C20)*F27,0)</f>
        <v>4453212</v>
      </c>
      <c r="D28" s="235"/>
      <c r="E28" s="236"/>
      <c r="F28" s="246"/>
      <c r="G28" s="247"/>
    </row>
    <row r="29" spans="1:7" s="214" customFormat="1" ht="13.5" customHeight="1">
      <c r="A29" s="776" t="s">
        <v>347</v>
      </c>
      <c r="B29" s="248" t="s">
        <v>1501</v>
      </c>
      <c r="C29" s="238">
        <f ca="1">ROUND(C21*F27,4)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44226242</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8340281</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19470386</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72" t="s">
        <v>1575</v>
      </c>
    </row>
    <row r="43" spans="1:7" ht="13.5" customHeight="1">
      <c r="A43" s="776" t="s">
        <v>347</v>
      </c>
      <c r="B43" s="215" t="s">
        <v>1529</v>
      </c>
      <c r="C43" s="238">
        <f ca="1">ROUND(IF('数据-取费表'!B22&lt;=1,C39*F22*'数据-取费表'!B20/2,C39*(POWER((1+F22),'数据-取费表'!B20/2)-1)),0)</f>
        <v>287740</v>
      </c>
      <c r="D43" s="238"/>
      <c r="E43" s="238"/>
      <c r="F43" s="239"/>
      <c r="G43" s="3773"/>
    </row>
    <row r="44" spans="1:7" ht="13.5" customHeight="1">
      <c r="A44" s="776" t="s">
        <v>348</v>
      </c>
      <c r="B44" s="215" t="s">
        <v>1530</v>
      </c>
      <c r="C44" s="238">
        <f ca="1">ROUND(IF('数据-取费表'!B22&lt;=1,C40*F22*'数据-取费表'!B20/2,C40*(POWER((1+F22),'数据-取费表'!B20/2)-1)),4)</f>
        <v>5.0000000000000001E-4</v>
      </c>
      <c r="D44" s="238"/>
      <c r="E44" s="238"/>
      <c r="F44" s="239"/>
      <c r="G44" s="3774"/>
    </row>
    <row r="45" spans="1:7" s="214" customFormat="1" ht="13.5" customHeight="1">
      <c r="A45" s="255" t="s">
        <v>1531</v>
      </c>
      <c r="B45" s="244" t="s">
        <v>1497</v>
      </c>
      <c r="C45" s="245">
        <f ca="1">C46</f>
        <v>73366671</v>
      </c>
      <c r="D45" s="235">
        <f ca="1">C47</f>
        <v>2E-3</v>
      </c>
      <c r="E45" s="236" t="s">
        <v>1523</v>
      </c>
      <c r="F45" s="246">
        <f ca="1">F27</f>
        <v>0.13</v>
      </c>
      <c r="G45" s="247" t="s">
        <v>1532</v>
      </c>
    </row>
    <row r="46" spans="1:7" s="214" customFormat="1" ht="13.5" customHeight="1">
      <c r="A46" s="776" t="s">
        <v>346</v>
      </c>
      <c r="B46" s="248" t="s">
        <v>1533</v>
      </c>
      <c r="C46" s="249">
        <f ca="1">ROUND((C33+C39)*F27,0)</f>
        <v>73366671</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707270843</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693125426</v>
      </c>
      <c r="D51" s="232"/>
      <c r="E51" s="232"/>
      <c r="F51" s="264"/>
      <c r="G51" s="234" t="s">
        <v>1544</v>
      </c>
    </row>
    <row r="52" spans="1:7" s="208" customFormat="1" ht="16.5" thickBot="1">
      <c r="A52" s="265" t="s">
        <v>1545</v>
      </c>
      <c r="B52" s="266"/>
      <c r="C52" s="267">
        <f ca="1">C31+C51</f>
        <v>737351668</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1.4999999999999999E-2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1.4999999999999999E-2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75" t="s">
        <v>694</v>
      </c>
      <c r="C6" s="1070">
        <f ca="1">ROUND(F6*F8*F7*(1-F9),0)</f>
        <v>0</v>
      </c>
      <c r="D6" s="155" t="s">
        <v>2088</v>
      </c>
      <c r="E6" s="302" t="s">
        <v>696</v>
      </c>
      <c r="F6" s="303">
        <f ca="1">INDIRECT("'数据-取费表'!u"&amp;$G$1)</f>
        <v>0</v>
      </c>
      <c r="G6" s="1379"/>
      <c r="H6" s="1065" t="s">
        <v>398</v>
      </c>
      <c r="I6" s="3775" t="s">
        <v>694</v>
      </c>
      <c r="J6" s="301">
        <f ca="1">ROUND(M6*M8*M7*(1-M9),0)</f>
        <v>0</v>
      </c>
      <c r="K6" s="1371" t="s">
        <v>2089</v>
      </c>
      <c r="L6" s="302" t="s">
        <v>696</v>
      </c>
      <c r="M6" s="303">
        <f ca="1">INDIRECT("'数据-取费表'!z"&amp;$G$1)</f>
        <v>0</v>
      </c>
    </row>
    <row r="7" spans="1:37" ht="18" customHeight="1">
      <c r="A7" s="1069"/>
      <c r="B7" s="3776"/>
      <c r="C7" s="1071"/>
      <c r="D7" s="307"/>
      <c r="E7" s="1072" t="s">
        <v>697</v>
      </c>
      <c r="F7" s="303">
        <f ca="1">IF(INDIRECT("'数据-取费表'!ah"&amp;$G$1)="",INDIRECT("'数据-取费表'!k"&amp;$G$1),INDIRECT("'数据-取费表'!ah"&amp;$G$1))</f>
        <v>0</v>
      </c>
      <c r="G7" s="1379"/>
      <c r="H7" s="304"/>
      <c r="I7" s="3776"/>
      <c r="J7" s="306"/>
      <c r="K7" s="307"/>
      <c r="L7" s="302" t="s">
        <v>697</v>
      </c>
      <c r="M7" s="303">
        <f ca="1">F7</f>
        <v>0</v>
      </c>
    </row>
    <row r="8" spans="1:37" ht="18" customHeight="1">
      <c r="A8" s="304"/>
      <c r="B8" s="3776"/>
      <c r="C8" s="306"/>
      <c r="D8" s="307"/>
      <c r="E8" s="302" t="s">
        <v>698</v>
      </c>
      <c r="F8" s="303">
        <f ca="1">INDIRECT("'数据-取费表'!ai"&amp;$G$1)</f>
        <v>0</v>
      </c>
      <c r="G8" s="1379"/>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79"/>
      <c r="H9" s="304"/>
      <c r="I9" s="3777"/>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78" t="s">
        <v>837</v>
      </c>
      <c r="L53" s="3779"/>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80" t="s">
        <v>2299</v>
      </c>
      <c r="K2" s="3781"/>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82" t="s">
        <v>2309</v>
      </c>
      <c r="K3" s="3783"/>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82" t="s">
        <v>2311</v>
      </c>
      <c r="K4" s="3783"/>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84" t="s">
        <v>2315</v>
      </c>
      <c r="B6" s="3785"/>
      <c r="C6" s="3786"/>
      <c r="D6" s="2841"/>
      <c r="E6" s="2842"/>
      <c r="F6" s="2843"/>
      <c r="G6" s="2844"/>
      <c r="H6" s="2819"/>
      <c r="I6" s="2820"/>
      <c r="J6" s="3787">
        <v>1</v>
      </c>
      <c r="K6" s="3788"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87"/>
      <c r="K7" s="3789"/>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91" t="s">
        <v>2329</v>
      </c>
      <c r="C8" s="3792"/>
      <c r="D8" s="2860" t="s">
        <v>2330</v>
      </c>
      <c r="E8" s="2861" t="s">
        <v>2331</v>
      </c>
      <c r="F8" s="2862" t="s">
        <v>2332</v>
      </c>
      <c r="G8" s="2863"/>
      <c r="H8" s="2819"/>
      <c r="I8" s="2820"/>
      <c r="J8" s="3787"/>
      <c r="K8" s="3789"/>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91" t="s">
        <v>2335</v>
      </c>
      <c r="C9" s="3792"/>
      <c r="D9" s="2860">
        <f>ROUND(D6*E9,0)</f>
        <v>0</v>
      </c>
      <c r="E9" s="2864"/>
      <c r="F9" s="2865" t="s">
        <v>2336</v>
      </c>
      <c r="G9" s="2844"/>
      <c r="H9" s="2819"/>
      <c r="I9" s="2820"/>
      <c r="J9" s="3787"/>
      <c r="K9" s="3789"/>
      <c r="L9" s="2854" t="s">
        <v>2337</v>
      </c>
      <c r="M9" s="2855"/>
      <c r="N9" s="2831"/>
      <c r="O9" s="2856"/>
      <c r="P9" s="2856"/>
      <c r="Q9" s="2857">
        <v>365</v>
      </c>
      <c r="R9" s="2858">
        <f t="shared" si="0"/>
        <v>0</v>
      </c>
      <c r="S9" s="2812"/>
      <c r="T9" s="2812"/>
      <c r="U9" s="2812"/>
      <c r="V9" s="2820"/>
    </row>
    <row r="10" spans="1:22" s="2824" customFormat="1" ht="13.15" customHeight="1">
      <c r="A10" s="2859">
        <v>2</v>
      </c>
      <c r="B10" s="3791" t="s">
        <v>2338</v>
      </c>
      <c r="C10" s="3792"/>
      <c r="D10" s="2860">
        <f>ROUND(D6*E10,0)</f>
        <v>0</v>
      </c>
      <c r="E10" s="2864"/>
      <c r="F10" s="2865" t="s">
        <v>2339</v>
      </c>
      <c r="G10" s="2844"/>
      <c r="H10" s="2819"/>
      <c r="I10" s="2820"/>
      <c r="J10" s="3787"/>
      <c r="K10" s="3789"/>
      <c r="L10" s="2854" t="s">
        <v>2340</v>
      </c>
      <c r="M10" s="2855"/>
      <c r="N10" s="2831"/>
      <c r="O10" s="2856"/>
      <c r="P10" s="2856"/>
      <c r="Q10" s="2857">
        <v>365</v>
      </c>
      <c r="R10" s="2858">
        <f t="shared" si="0"/>
        <v>0</v>
      </c>
      <c r="S10" s="2812"/>
      <c r="T10" s="2812"/>
      <c r="U10" s="2812"/>
      <c r="V10" s="2820"/>
    </row>
    <row r="11" spans="1:22" s="2824" customFormat="1" ht="13.15" customHeight="1">
      <c r="A11" s="2859">
        <v>3</v>
      </c>
      <c r="B11" s="3791" t="s">
        <v>2341</v>
      </c>
      <c r="C11" s="3792"/>
      <c r="D11" s="2860">
        <f>D12+D14+D15+D16</f>
        <v>0</v>
      </c>
      <c r="E11" s="2866" t="e">
        <f>D11/D6</f>
        <v>#DIV/0!</v>
      </c>
      <c r="F11" s="2862"/>
      <c r="G11" s="2863"/>
      <c r="H11" s="2819"/>
      <c r="I11" s="2820"/>
      <c r="J11" s="3787"/>
      <c r="K11" s="3789"/>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93" t="s">
        <v>2344</v>
      </c>
      <c r="C12" s="3794"/>
      <c r="D12" s="2868">
        <f>ROUND(D13*1.2%*(1-30%),0)</f>
        <v>0</v>
      </c>
      <c r="E12" s="2869">
        <v>1.2E-2</v>
      </c>
      <c r="F12" s="2862" t="s">
        <v>2345</v>
      </c>
      <c r="G12" s="2863"/>
      <c r="H12" s="2819"/>
      <c r="I12" s="2820"/>
      <c r="J12" s="3787"/>
      <c r="K12" s="3789"/>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87"/>
      <c r="K13" s="3789"/>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93" t="s">
        <v>2350</v>
      </c>
      <c r="C14" s="3794"/>
      <c r="D14" s="2868">
        <f>ROUND(E14*B5/10000,0)</f>
        <v>0</v>
      </c>
      <c r="E14" s="2857"/>
      <c r="F14" s="2862" t="s">
        <v>2351</v>
      </c>
      <c r="G14" s="2863"/>
      <c r="H14" s="2819"/>
      <c r="I14" s="2820"/>
      <c r="J14" s="3787"/>
      <c r="K14" s="3790"/>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93" t="s">
        <v>2354</v>
      </c>
      <c r="C15" s="3794"/>
      <c r="D15" s="2868">
        <f>ROUND(D6*E15,0)</f>
        <v>0</v>
      </c>
      <c r="E15" s="2869">
        <v>5.5E-2</v>
      </c>
      <c r="F15" s="2862" t="s">
        <v>2355</v>
      </c>
      <c r="G15" s="2844"/>
      <c r="H15" s="2819"/>
      <c r="I15" s="2820"/>
      <c r="J15" s="3787">
        <v>2</v>
      </c>
      <c r="K15" s="3788"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93" t="s">
        <v>2363</v>
      </c>
      <c r="C16" s="3794"/>
      <c r="D16" s="2879">
        <f>D6*E16</f>
        <v>0</v>
      </c>
      <c r="E16" s="2880"/>
      <c r="F16" s="2865" t="s">
        <v>2364</v>
      </c>
      <c r="G16" s="2844"/>
      <c r="H16" s="2819"/>
      <c r="I16" s="2820"/>
      <c r="J16" s="3787"/>
      <c r="K16" s="3789"/>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95" t="s">
        <v>2366</v>
      </c>
      <c r="C17" s="3796"/>
      <c r="D17" s="2882">
        <f>ROUND(D6*E17,0)</f>
        <v>0</v>
      </c>
      <c r="E17" s="2883"/>
      <c r="F17" s="2884" t="s">
        <v>2367</v>
      </c>
      <c r="G17" s="2844"/>
      <c r="H17" s="2819"/>
      <c r="I17" s="2820"/>
      <c r="J17" s="3787"/>
      <c r="K17" s="3789"/>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87"/>
      <c r="K18" s="3789"/>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87"/>
      <c r="K19" s="3790"/>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87">
        <v>3</v>
      </c>
      <c r="K20" s="3788"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87"/>
      <c r="K21" s="3789"/>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87"/>
      <c r="K22" s="3789"/>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87"/>
      <c r="K23" s="3789"/>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87"/>
      <c r="K24" s="3790"/>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97">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98"/>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80" t="s">
        <v>2299</v>
      </c>
      <c r="K32" s="3781"/>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82" t="s">
        <v>2309</v>
      </c>
      <c r="K33" s="3783"/>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82" t="s">
        <v>2311</v>
      </c>
      <c r="K34" s="3783"/>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87">
        <v>1</v>
      </c>
      <c r="K36" s="3788"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87"/>
      <c r="K37" s="3789"/>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87"/>
      <c r="K38" s="3789"/>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87"/>
      <c r="K39" s="3789"/>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87"/>
      <c r="K40" s="3790"/>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97">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98"/>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20" t="s">
        <v>1754</v>
      </c>
      <c r="D4" s="3821"/>
      <c r="E4" s="3822" t="s">
        <v>1755</v>
      </c>
      <c r="F4" s="3823"/>
      <c r="G4" s="3820" t="s">
        <v>1756</v>
      </c>
      <c r="H4" s="3821"/>
      <c r="I4" s="3820" t="s">
        <v>1757</v>
      </c>
      <c r="J4" s="3821"/>
      <c r="K4" s="559" t="s">
        <v>1758</v>
      </c>
      <c r="L4" s="2686"/>
      <c r="M4" s="2687"/>
      <c r="N4" s="2687"/>
      <c r="O4" s="2687"/>
      <c r="P4" s="3824" t="s">
        <v>1759</v>
      </c>
      <c r="Q4" s="3825"/>
      <c r="R4" s="3804" t="s">
        <v>1755</v>
      </c>
      <c r="S4" s="3805"/>
      <c r="T4" s="3804" t="s">
        <v>1756</v>
      </c>
      <c r="U4" s="3805"/>
      <c r="V4" s="3832" t="s">
        <v>1757</v>
      </c>
      <c r="W4" s="3832"/>
      <c r="X4" s="1953"/>
      <c r="Y4" s="3804" t="s">
        <v>1759</v>
      </c>
      <c r="Z4" s="3805"/>
      <c r="AA4" s="3799" t="s">
        <v>1755</v>
      </c>
      <c r="AB4" s="3799" t="s">
        <v>1756</v>
      </c>
      <c r="AC4" s="3817" t="s">
        <v>1757</v>
      </c>
    </row>
    <row r="5" spans="1:29" ht="15">
      <c r="A5" s="358"/>
      <c r="B5" s="359"/>
      <c r="C5" s="3810" t="s">
        <v>1657</v>
      </c>
      <c r="D5" s="3811"/>
      <c r="E5" s="3808" t="e">
        <f>#REF!</f>
        <v>#REF!</v>
      </c>
      <c r="F5" s="3809"/>
      <c r="G5" s="3834" t="e">
        <f>#REF!</f>
        <v>#REF!</v>
      </c>
      <c r="H5" s="3811"/>
      <c r="I5" s="3810" t="e">
        <f>#REF!</f>
        <v>#REF!</v>
      </c>
      <c r="J5" s="3811"/>
      <c r="K5" s="559"/>
      <c r="L5" s="2686"/>
      <c r="M5" s="2687"/>
      <c r="N5" s="2687"/>
      <c r="O5" s="2687"/>
      <c r="P5" s="3826"/>
      <c r="Q5" s="3827"/>
      <c r="R5" s="3806"/>
      <c r="S5" s="3807"/>
      <c r="T5" s="3806"/>
      <c r="U5" s="3807"/>
      <c r="V5" s="3833"/>
      <c r="W5" s="3833"/>
      <c r="X5" s="1350"/>
      <c r="Y5" s="3806"/>
      <c r="Z5" s="3807"/>
      <c r="AA5" s="3800"/>
      <c r="AB5" s="3800"/>
      <c r="AC5" s="3818"/>
    </row>
    <row r="6" spans="1:29" ht="15.75" thickBot="1">
      <c r="A6" s="360"/>
      <c r="B6" s="361"/>
      <c r="C6" s="3812" t="s">
        <v>1661</v>
      </c>
      <c r="D6" s="3813"/>
      <c r="E6" s="3814" t="s">
        <v>1661</v>
      </c>
      <c r="F6" s="3815"/>
      <c r="G6" s="3812" t="s">
        <v>1661</v>
      </c>
      <c r="H6" s="3813"/>
      <c r="I6" s="3812" t="s">
        <v>1661</v>
      </c>
      <c r="J6" s="3813"/>
      <c r="K6" s="559" t="s">
        <v>1662</v>
      </c>
      <c r="L6" s="2686"/>
      <c r="M6" s="2687"/>
      <c r="N6" s="2687"/>
      <c r="O6" s="2687"/>
      <c r="P6" s="3828"/>
      <c r="Q6" s="3829"/>
      <c r="R6" s="3806"/>
      <c r="S6" s="3807"/>
      <c r="T6" s="3830"/>
      <c r="U6" s="3831"/>
      <c r="V6" s="3833"/>
      <c r="W6" s="3833"/>
      <c r="X6" s="1350"/>
      <c r="Y6" s="3830"/>
      <c r="Z6" s="3831"/>
      <c r="AA6" s="3801"/>
      <c r="AB6" s="3801"/>
      <c r="AC6" s="3819"/>
    </row>
    <row r="7" spans="1:29" s="108" customFormat="1" ht="15.75" thickBot="1">
      <c r="A7" s="362" t="s">
        <v>1663</v>
      </c>
      <c r="B7" s="363"/>
      <c r="C7" s="364">
        <f>'数据-取费表'!B2</f>
        <v>45491</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35" t="s">
        <v>1664</v>
      </c>
      <c r="Q7" s="3836"/>
      <c r="R7" s="700" t="s">
        <v>14</v>
      </c>
      <c r="S7" s="701">
        <f t="shared" ref="S7:S15" si="0">F7</f>
        <v>100</v>
      </c>
      <c r="T7" s="700" t="s">
        <v>14</v>
      </c>
      <c r="U7" s="701">
        <f t="shared" ref="U7:U15" si="1">H7</f>
        <v>100</v>
      </c>
      <c r="V7" s="700" t="s">
        <v>14</v>
      </c>
      <c r="W7" s="701">
        <f t="shared" ref="W7:W15" si="2">J7</f>
        <v>100</v>
      </c>
      <c r="X7" s="702"/>
      <c r="Y7" s="3802" t="s">
        <v>1664</v>
      </c>
      <c r="Z7" s="3803"/>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35" t="s">
        <v>1667</v>
      </c>
      <c r="Q8" s="3803"/>
      <c r="R8" s="700" t="s">
        <v>14</v>
      </c>
      <c r="S8" s="701">
        <f t="shared" si="0"/>
        <v>102</v>
      </c>
      <c r="T8" s="700" t="s">
        <v>14</v>
      </c>
      <c r="U8" s="701">
        <f t="shared" si="1"/>
        <v>102</v>
      </c>
      <c r="V8" s="700" t="s">
        <v>14</v>
      </c>
      <c r="W8" s="701">
        <f t="shared" si="2"/>
        <v>102</v>
      </c>
      <c r="X8" s="702"/>
      <c r="Y8" s="3802" t="s">
        <v>1667</v>
      </c>
      <c r="Z8" s="3803"/>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16" t="s">
        <v>1670</v>
      </c>
      <c r="Q9" s="1338" t="str">
        <f t="shared" ref="Q9:Q15" si="6">B9</f>
        <v>用途</v>
      </c>
      <c r="R9" s="700" t="s">
        <v>14</v>
      </c>
      <c r="S9" s="701">
        <f t="shared" si="0"/>
        <v>95</v>
      </c>
      <c r="T9" s="700" t="s">
        <v>14</v>
      </c>
      <c r="U9" s="701">
        <f t="shared" si="1"/>
        <v>95</v>
      </c>
      <c r="V9" s="700" t="s">
        <v>14</v>
      </c>
      <c r="W9" s="701">
        <f t="shared" si="2"/>
        <v>95</v>
      </c>
      <c r="X9" s="702"/>
      <c r="Y9" s="3748"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816"/>
      <c r="Q10" s="1338" t="str">
        <f t="shared" si="6"/>
        <v>土地使用年限（年）</v>
      </c>
      <c r="R10" s="700" t="s">
        <v>14</v>
      </c>
      <c r="S10" s="701">
        <f t="shared" si="0"/>
        <v>104</v>
      </c>
      <c r="T10" s="700" t="s">
        <v>14</v>
      </c>
      <c r="U10" s="701">
        <f t="shared" si="1"/>
        <v>102</v>
      </c>
      <c r="V10" s="700" t="s">
        <v>14</v>
      </c>
      <c r="W10" s="701">
        <f t="shared" si="2"/>
        <v>104</v>
      </c>
      <c r="X10" s="702"/>
      <c r="Y10" s="3748"/>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16"/>
      <c r="Q11" s="1338" t="str">
        <f t="shared" si="6"/>
        <v>容积率</v>
      </c>
      <c r="R11" s="700" t="s">
        <v>14</v>
      </c>
      <c r="S11" s="701">
        <f t="shared" si="0"/>
        <v>100</v>
      </c>
      <c r="T11" s="700" t="s">
        <v>14</v>
      </c>
      <c r="U11" s="701">
        <f t="shared" si="1"/>
        <v>100</v>
      </c>
      <c r="V11" s="700" t="s">
        <v>14</v>
      </c>
      <c r="W11" s="701">
        <f t="shared" si="2"/>
        <v>100</v>
      </c>
      <c r="X11" s="702"/>
      <c r="Y11" s="3748"/>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16"/>
      <c r="Q12" s="1338" t="str">
        <f t="shared" si="6"/>
        <v>建成</v>
      </c>
      <c r="R12" s="700" t="s">
        <v>14</v>
      </c>
      <c r="S12" s="701">
        <f t="shared" si="0"/>
        <v>100</v>
      </c>
      <c r="T12" s="700" t="s">
        <v>14</v>
      </c>
      <c r="U12" s="701">
        <f t="shared" si="1"/>
        <v>100</v>
      </c>
      <c r="V12" s="700" t="s">
        <v>14</v>
      </c>
      <c r="W12" s="701">
        <f t="shared" si="2"/>
        <v>100</v>
      </c>
      <c r="X12" s="702"/>
      <c r="Y12" s="3748"/>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16"/>
      <c r="Q13" s="1338" t="str">
        <f t="shared" si="6"/>
        <v>剩余年限</v>
      </c>
      <c r="R13" s="700" t="s">
        <v>14</v>
      </c>
      <c r="S13" s="701">
        <f t="shared" si="0"/>
        <v>100</v>
      </c>
      <c r="T13" s="700" t="s">
        <v>14</v>
      </c>
      <c r="U13" s="701">
        <f t="shared" si="1"/>
        <v>100</v>
      </c>
      <c r="V13" s="700" t="s">
        <v>14</v>
      </c>
      <c r="W13" s="701">
        <f t="shared" si="2"/>
        <v>100</v>
      </c>
      <c r="X13" s="702"/>
      <c r="Y13" s="3748"/>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16"/>
      <c r="Q14" s="1338">
        <f t="shared" si="6"/>
        <v>111</v>
      </c>
      <c r="R14" s="700" t="s">
        <v>14</v>
      </c>
      <c r="S14" s="701">
        <f t="shared" si="0"/>
        <v>100</v>
      </c>
      <c r="T14" s="700" t="s">
        <v>14</v>
      </c>
      <c r="U14" s="701">
        <f t="shared" si="1"/>
        <v>100</v>
      </c>
      <c r="V14" s="700" t="s">
        <v>14</v>
      </c>
      <c r="W14" s="701">
        <f t="shared" si="2"/>
        <v>100</v>
      </c>
      <c r="X14" s="702"/>
      <c r="Y14" s="3748"/>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837" t="s">
        <v>1675</v>
      </c>
      <c r="Q15" s="1347" t="str">
        <f t="shared" si="6"/>
        <v>办公集聚程度</v>
      </c>
      <c r="R15" s="704" t="s">
        <v>14</v>
      </c>
      <c r="S15" s="705">
        <f t="shared" si="0"/>
        <v>100</v>
      </c>
      <c r="T15" s="704" t="s">
        <v>14</v>
      </c>
      <c r="U15" s="705">
        <f t="shared" si="1"/>
        <v>100</v>
      </c>
      <c r="V15" s="704" t="s">
        <v>14</v>
      </c>
      <c r="W15" s="705">
        <f t="shared" si="2"/>
        <v>100</v>
      </c>
      <c r="X15" s="1350"/>
      <c r="Y15" s="3839"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838"/>
      <c r="Q16" s="1347"/>
      <c r="R16" s="704"/>
      <c r="S16" s="705"/>
      <c r="T16" s="704"/>
      <c r="U16" s="705"/>
      <c r="V16" s="704"/>
      <c r="W16" s="705"/>
      <c r="X16" s="1350"/>
      <c r="Y16" s="3840"/>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38"/>
      <c r="Q17" s="1347" t="str">
        <f>B17</f>
        <v>交通便捷度</v>
      </c>
      <c r="R17" s="704" t="s">
        <v>14</v>
      </c>
      <c r="S17" s="705">
        <f>F17</f>
        <v>100</v>
      </c>
      <c r="T17" s="704" t="s">
        <v>14</v>
      </c>
      <c r="U17" s="705">
        <f>H17</f>
        <v>100</v>
      </c>
      <c r="V17" s="704" t="s">
        <v>14</v>
      </c>
      <c r="W17" s="705">
        <f>J17</f>
        <v>100</v>
      </c>
      <c r="X17" s="1350"/>
      <c r="Y17" s="3840"/>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38"/>
      <c r="Q18" s="1347"/>
      <c r="R18" s="704"/>
      <c r="S18" s="705"/>
      <c r="T18" s="704"/>
      <c r="U18" s="705"/>
      <c r="V18" s="704"/>
      <c r="W18" s="705"/>
      <c r="X18" s="1350"/>
      <c r="Y18" s="3840"/>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838"/>
      <c r="Q19" s="1347" t="str">
        <f>B19</f>
        <v>公共配套设施</v>
      </c>
      <c r="R19" s="704" t="s">
        <v>14</v>
      </c>
      <c r="S19" s="705">
        <f>F19</f>
        <v>100</v>
      </c>
      <c r="T19" s="704" t="s">
        <v>14</v>
      </c>
      <c r="U19" s="705">
        <f>H19</f>
        <v>100</v>
      </c>
      <c r="V19" s="704" t="s">
        <v>14</v>
      </c>
      <c r="W19" s="705">
        <f>J19</f>
        <v>100</v>
      </c>
      <c r="X19" s="1350"/>
      <c r="Y19" s="3840"/>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838"/>
      <c r="Q20" s="1347"/>
      <c r="R20" s="704"/>
      <c r="S20" s="705"/>
      <c r="T20" s="704"/>
      <c r="U20" s="705"/>
      <c r="V20" s="704"/>
      <c r="W20" s="705"/>
      <c r="X20" s="1350"/>
      <c r="Y20" s="3840"/>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38"/>
      <c r="Q21" s="1347" t="str">
        <f>B21</f>
        <v>基础设施水平</v>
      </c>
      <c r="R21" s="704" t="s">
        <v>14</v>
      </c>
      <c r="S21" s="705">
        <f>F21</f>
        <v>100</v>
      </c>
      <c r="T21" s="704" t="s">
        <v>14</v>
      </c>
      <c r="U21" s="705">
        <f>H21</f>
        <v>100</v>
      </c>
      <c r="V21" s="704" t="s">
        <v>14</v>
      </c>
      <c r="W21" s="705">
        <f>J21</f>
        <v>100</v>
      </c>
      <c r="X21" s="1350"/>
      <c r="Y21" s="3840"/>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38"/>
      <c r="Q22" s="1347"/>
      <c r="R22" s="704"/>
      <c r="S22" s="705"/>
      <c r="T22" s="704"/>
      <c r="U22" s="705"/>
      <c r="V22" s="704"/>
      <c r="W22" s="705"/>
      <c r="X22" s="1350"/>
      <c r="Y22" s="3840"/>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838"/>
      <c r="Q23" s="1347" t="str">
        <f>B23</f>
        <v>环境质量</v>
      </c>
      <c r="R23" s="704" t="s">
        <v>14</v>
      </c>
      <c r="S23" s="705">
        <f>F23</f>
        <v>100</v>
      </c>
      <c r="T23" s="704" t="s">
        <v>14</v>
      </c>
      <c r="U23" s="705">
        <f>H23</f>
        <v>100</v>
      </c>
      <c r="V23" s="704" t="s">
        <v>14</v>
      </c>
      <c r="W23" s="705">
        <f>J23</f>
        <v>100</v>
      </c>
      <c r="X23" s="1350"/>
      <c r="Y23" s="3840"/>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838"/>
      <c r="Q24" s="1347"/>
      <c r="R24" s="704"/>
      <c r="S24" s="705"/>
      <c r="T24" s="704"/>
      <c r="U24" s="705"/>
      <c r="V24" s="704"/>
      <c r="W24" s="705"/>
      <c r="X24" s="1350"/>
      <c r="Y24" s="3840"/>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38"/>
      <c r="Q25" s="1347" t="str">
        <f>B25</f>
        <v>毗邻道路的类型与等级</v>
      </c>
      <c r="R25" s="704" t="s">
        <v>14</v>
      </c>
      <c r="S25" s="705">
        <f>F25</f>
        <v>99</v>
      </c>
      <c r="T25" s="704" t="s">
        <v>14</v>
      </c>
      <c r="U25" s="705">
        <f>H25</f>
        <v>99</v>
      </c>
      <c r="V25" s="704" t="s">
        <v>14</v>
      </c>
      <c r="W25" s="705">
        <f>J25</f>
        <v>99</v>
      </c>
      <c r="X25" s="1350"/>
      <c r="Y25" s="3840"/>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838"/>
      <c r="Q26" s="1347"/>
      <c r="R26" s="704"/>
      <c r="S26" s="705"/>
      <c r="T26" s="704"/>
      <c r="U26" s="705"/>
      <c r="V26" s="704"/>
      <c r="W26" s="705"/>
      <c r="X26" s="1350"/>
      <c r="Y26" s="3840"/>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838"/>
      <c r="Q27" s="1347" t="str">
        <f t="shared" ref="Q27:Q47" si="11">B27</f>
        <v>楼层</v>
      </c>
      <c r="R27" s="704" t="s">
        <v>14</v>
      </c>
      <c r="S27" s="705">
        <f>F27</f>
        <v>104</v>
      </c>
      <c r="T27" s="704" t="s">
        <v>14</v>
      </c>
      <c r="U27" s="705">
        <f>H27</f>
        <v>102</v>
      </c>
      <c r="V27" s="704" t="s">
        <v>14</v>
      </c>
      <c r="W27" s="705">
        <f>J27</f>
        <v>102</v>
      </c>
      <c r="X27" s="1350"/>
      <c r="Y27" s="3840"/>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8"/>
      <c r="Q28" s="1338" t="str">
        <f t="shared" si="11"/>
        <v>朝向</v>
      </c>
      <c r="R28" s="700" t="s">
        <v>14</v>
      </c>
      <c r="S28" s="701">
        <f>F28</f>
        <v>100</v>
      </c>
      <c r="T28" s="700" t="s">
        <v>14</v>
      </c>
      <c r="U28" s="701">
        <f>H28</f>
        <v>100</v>
      </c>
      <c r="V28" s="700" t="s">
        <v>14</v>
      </c>
      <c r="W28" s="701">
        <f>J28</f>
        <v>100</v>
      </c>
      <c r="X28" s="702"/>
      <c r="Y28" s="3840"/>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838"/>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40"/>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8"/>
      <c r="Q30" s="1347">
        <f t="shared" si="11"/>
        <v>111</v>
      </c>
      <c r="R30" s="704" t="s">
        <v>14</v>
      </c>
      <c r="S30" s="705">
        <f t="shared" si="12"/>
        <v>100</v>
      </c>
      <c r="T30" s="704" t="s">
        <v>14</v>
      </c>
      <c r="U30" s="705">
        <f t="shared" si="13"/>
        <v>100</v>
      </c>
      <c r="V30" s="704" t="s">
        <v>14</v>
      </c>
      <c r="W30" s="705">
        <f t="shared" si="14"/>
        <v>100</v>
      </c>
      <c r="X30" s="1350"/>
      <c r="Y30" s="3840"/>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8"/>
      <c r="Q31" s="1347">
        <f t="shared" si="11"/>
        <v>111</v>
      </c>
      <c r="R31" s="704" t="s">
        <v>14</v>
      </c>
      <c r="S31" s="705">
        <f t="shared" si="12"/>
        <v>100</v>
      </c>
      <c r="T31" s="704" t="s">
        <v>14</v>
      </c>
      <c r="U31" s="705">
        <f t="shared" si="13"/>
        <v>100</v>
      </c>
      <c r="V31" s="704" t="s">
        <v>14</v>
      </c>
      <c r="W31" s="705">
        <f t="shared" si="14"/>
        <v>100</v>
      </c>
      <c r="X31" s="1350"/>
      <c r="Y31" s="3840"/>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8"/>
      <c r="Q32" s="1347">
        <f t="shared" si="11"/>
        <v>111</v>
      </c>
      <c r="R32" s="704" t="s">
        <v>14</v>
      </c>
      <c r="S32" s="705">
        <f t="shared" si="12"/>
        <v>100</v>
      </c>
      <c r="T32" s="704" t="s">
        <v>14</v>
      </c>
      <c r="U32" s="705">
        <f t="shared" si="13"/>
        <v>100</v>
      </c>
      <c r="V32" s="704" t="s">
        <v>14</v>
      </c>
      <c r="W32" s="705">
        <f t="shared" si="14"/>
        <v>100</v>
      </c>
      <c r="X32" s="1350"/>
      <c r="Y32" s="3840"/>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841" t="s">
        <v>1680</v>
      </c>
      <c r="Q33" s="1347" t="str">
        <f t="shared" si="11"/>
        <v>建筑类型</v>
      </c>
      <c r="R33" s="704" t="s">
        <v>14</v>
      </c>
      <c r="S33" s="705">
        <f t="shared" si="12"/>
        <v>100</v>
      </c>
      <c r="T33" s="704" t="s">
        <v>14</v>
      </c>
      <c r="U33" s="705">
        <f t="shared" si="13"/>
        <v>100</v>
      </c>
      <c r="V33" s="704" t="s">
        <v>14</v>
      </c>
      <c r="W33" s="705">
        <f t="shared" si="14"/>
        <v>100</v>
      </c>
      <c r="X33" s="1350"/>
      <c r="Y33" s="3844"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42"/>
      <c r="Q34" s="706" t="str">
        <f t="shared" si="11"/>
        <v>项目建筑规模</v>
      </c>
      <c r="R34" s="707" t="s">
        <v>14</v>
      </c>
      <c r="S34" s="708" t="e">
        <f t="shared" si="12"/>
        <v>#REF!</v>
      </c>
      <c r="T34" s="707" t="s">
        <v>14</v>
      </c>
      <c r="U34" s="708" t="e">
        <f t="shared" si="13"/>
        <v>#REF!</v>
      </c>
      <c r="V34" s="707" t="s">
        <v>14</v>
      </c>
      <c r="W34" s="708" t="e">
        <f t="shared" si="14"/>
        <v>#REF!</v>
      </c>
      <c r="X34" s="709"/>
      <c r="Y34" s="3844"/>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42"/>
      <c r="Q35" s="1347" t="str">
        <f t="shared" si="11"/>
        <v>建筑结构</v>
      </c>
      <c r="R35" s="704" t="s">
        <v>14</v>
      </c>
      <c r="S35" s="705">
        <f t="shared" si="12"/>
        <v>100</v>
      </c>
      <c r="T35" s="704" t="s">
        <v>14</v>
      </c>
      <c r="U35" s="705">
        <f t="shared" si="13"/>
        <v>100</v>
      </c>
      <c r="V35" s="704" t="s">
        <v>14</v>
      </c>
      <c r="W35" s="705">
        <f t="shared" si="14"/>
        <v>100</v>
      </c>
      <c r="X35" s="1350"/>
      <c r="Y35" s="3844"/>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42"/>
      <c r="Q36" s="1347" t="str">
        <f t="shared" si="11"/>
        <v>公共部分装修</v>
      </c>
      <c r="R36" s="704" t="s">
        <v>14</v>
      </c>
      <c r="S36" s="705">
        <f t="shared" si="12"/>
        <v>100</v>
      </c>
      <c r="T36" s="704" t="s">
        <v>14</v>
      </c>
      <c r="U36" s="705">
        <f t="shared" si="13"/>
        <v>100</v>
      </c>
      <c r="V36" s="704" t="s">
        <v>14</v>
      </c>
      <c r="W36" s="705">
        <f t="shared" si="14"/>
        <v>100</v>
      </c>
      <c r="X36" s="1350"/>
      <c r="Y36" s="3844"/>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42"/>
      <c r="Q37" s="1347" t="str">
        <f t="shared" si="11"/>
        <v>成新度</v>
      </c>
      <c r="R37" s="704" t="s">
        <v>14</v>
      </c>
      <c r="S37" s="705">
        <f t="shared" si="12"/>
        <v>96</v>
      </c>
      <c r="T37" s="704" t="s">
        <v>14</v>
      </c>
      <c r="U37" s="705">
        <f t="shared" si="13"/>
        <v>96</v>
      </c>
      <c r="V37" s="704" t="s">
        <v>14</v>
      </c>
      <c r="W37" s="705">
        <f t="shared" si="14"/>
        <v>96</v>
      </c>
      <c r="X37" s="1350"/>
      <c r="Y37" s="3844"/>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42"/>
      <c r="Q38" s="1338" t="str">
        <f t="shared" si="11"/>
        <v>写字楼等级</v>
      </c>
      <c r="R38" s="700" t="s">
        <v>14</v>
      </c>
      <c r="S38" s="701">
        <f t="shared" si="12"/>
        <v>100</v>
      </c>
      <c r="T38" s="700" t="s">
        <v>14</v>
      </c>
      <c r="U38" s="701">
        <f t="shared" si="13"/>
        <v>100</v>
      </c>
      <c r="V38" s="700" t="s">
        <v>14</v>
      </c>
      <c r="W38" s="701">
        <f t="shared" si="14"/>
        <v>100</v>
      </c>
      <c r="X38" s="702"/>
      <c r="Y38" s="3844"/>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42" t="s">
        <v>1680</v>
      </c>
      <c r="Q39" s="1347" t="str">
        <f t="shared" si="11"/>
        <v>物业管理</v>
      </c>
      <c r="R39" s="704" t="s">
        <v>14</v>
      </c>
      <c r="S39" s="705">
        <f t="shared" si="12"/>
        <v>100</v>
      </c>
      <c r="T39" s="704" t="s">
        <v>14</v>
      </c>
      <c r="U39" s="705">
        <f t="shared" si="13"/>
        <v>100</v>
      </c>
      <c r="V39" s="704" t="s">
        <v>14</v>
      </c>
      <c r="W39" s="705">
        <f t="shared" si="14"/>
        <v>100</v>
      </c>
      <c r="X39" s="1350"/>
      <c r="Y39" s="3844"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42"/>
      <c r="Q40" s="1347" t="str">
        <f t="shared" si="11"/>
        <v>市政基础设施</v>
      </c>
      <c r="R40" s="704" t="s">
        <v>14</v>
      </c>
      <c r="S40" s="705">
        <f t="shared" si="12"/>
        <v>100</v>
      </c>
      <c r="T40" s="704" t="s">
        <v>14</v>
      </c>
      <c r="U40" s="705">
        <f t="shared" si="13"/>
        <v>100</v>
      </c>
      <c r="V40" s="704" t="s">
        <v>14</v>
      </c>
      <c r="W40" s="705">
        <f t="shared" si="14"/>
        <v>100</v>
      </c>
      <c r="X40" s="1350"/>
      <c r="Y40" s="3844"/>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42"/>
      <c r="Q41" s="1347" t="str">
        <f t="shared" si="11"/>
        <v>层高</v>
      </c>
      <c r="R41" s="704" t="s">
        <v>14</v>
      </c>
      <c r="S41" s="705">
        <f t="shared" si="12"/>
        <v>100</v>
      </c>
      <c r="T41" s="704" t="s">
        <v>14</v>
      </c>
      <c r="U41" s="705">
        <f t="shared" si="13"/>
        <v>100</v>
      </c>
      <c r="V41" s="704" t="s">
        <v>14</v>
      </c>
      <c r="W41" s="705">
        <f t="shared" si="14"/>
        <v>100</v>
      </c>
      <c r="X41" s="1350"/>
      <c r="Y41" s="3844"/>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42"/>
      <c r="Q42" s="706" t="str">
        <f t="shared" si="11"/>
        <v>单套建筑面积</v>
      </c>
      <c r="R42" s="707" t="s">
        <v>14</v>
      </c>
      <c r="S42" s="708">
        <f t="shared" si="12"/>
        <v>100</v>
      </c>
      <c r="T42" s="707" t="s">
        <v>14</v>
      </c>
      <c r="U42" s="708">
        <f t="shared" si="13"/>
        <v>100</v>
      </c>
      <c r="V42" s="707" t="s">
        <v>14</v>
      </c>
      <c r="W42" s="708">
        <f t="shared" si="14"/>
        <v>100</v>
      </c>
      <c r="X42" s="709"/>
      <c r="Y42" s="3844"/>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42"/>
      <c r="Q43" s="1347" t="str">
        <f t="shared" si="11"/>
        <v>内部装修</v>
      </c>
      <c r="R43" s="704" t="s">
        <v>14</v>
      </c>
      <c r="S43" s="705">
        <f t="shared" si="12"/>
        <v>100</v>
      </c>
      <c r="T43" s="704" t="s">
        <v>14</v>
      </c>
      <c r="U43" s="705">
        <f t="shared" si="13"/>
        <v>100</v>
      </c>
      <c r="V43" s="704" t="s">
        <v>14</v>
      </c>
      <c r="W43" s="705">
        <f t="shared" si="14"/>
        <v>100</v>
      </c>
      <c r="X43" s="1350"/>
      <c r="Y43" s="3844"/>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42"/>
      <c r="Q44" s="1347" t="str">
        <f t="shared" si="11"/>
        <v>内部装修维护情况</v>
      </c>
      <c r="R44" s="704" t="s">
        <v>14</v>
      </c>
      <c r="S44" s="705">
        <f t="shared" si="12"/>
        <v>100</v>
      </c>
      <c r="T44" s="704" t="s">
        <v>14</v>
      </c>
      <c r="U44" s="705">
        <f t="shared" si="13"/>
        <v>100</v>
      </c>
      <c r="V44" s="704" t="s">
        <v>14</v>
      </c>
      <c r="W44" s="705">
        <f t="shared" si="14"/>
        <v>100</v>
      </c>
      <c r="X44" s="1350"/>
      <c r="Y44" s="3844"/>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42"/>
      <c r="Q45" s="1338">
        <f t="shared" si="11"/>
        <v>0</v>
      </c>
      <c r="R45" s="700" t="s">
        <v>14</v>
      </c>
      <c r="S45" s="701">
        <f t="shared" si="12"/>
        <v>100</v>
      </c>
      <c r="T45" s="700" t="s">
        <v>14</v>
      </c>
      <c r="U45" s="701">
        <f t="shared" si="13"/>
        <v>100</v>
      </c>
      <c r="V45" s="700" t="s">
        <v>14</v>
      </c>
      <c r="W45" s="701">
        <f t="shared" si="14"/>
        <v>100</v>
      </c>
      <c r="X45" s="702"/>
      <c r="Y45" s="3844"/>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42"/>
      <c r="Q46" s="1347">
        <f t="shared" si="11"/>
        <v>0</v>
      </c>
      <c r="R46" s="704" t="s">
        <v>14</v>
      </c>
      <c r="S46" s="705">
        <f t="shared" si="12"/>
        <v>100</v>
      </c>
      <c r="T46" s="704" t="s">
        <v>14</v>
      </c>
      <c r="U46" s="705">
        <f t="shared" si="13"/>
        <v>100</v>
      </c>
      <c r="V46" s="704" t="s">
        <v>14</v>
      </c>
      <c r="W46" s="705">
        <f t="shared" si="14"/>
        <v>100</v>
      </c>
      <c r="X46" s="1350"/>
      <c r="Y46" s="3844"/>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43"/>
      <c r="Q47" s="1347">
        <f t="shared" si="11"/>
        <v>0</v>
      </c>
      <c r="R47" s="704" t="s">
        <v>14</v>
      </c>
      <c r="S47" s="705">
        <f t="shared" si="12"/>
        <v>100</v>
      </c>
      <c r="T47" s="704" t="s">
        <v>14</v>
      </c>
      <c r="U47" s="705">
        <f t="shared" si="13"/>
        <v>100</v>
      </c>
      <c r="V47" s="704" t="s">
        <v>14</v>
      </c>
      <c r="W47" s="705">
        <f t="shared" si="14"/>
        <v>100</v>
      </c>
      <c r="X47" s="1350"/>
      <c r="Y47" s="3845"/>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16" t="str">
        <f>A48</f>
        <v>成交单价（元/平方米）</v>
      </c>
      <c r="Q48" s="3846"/>
      <c r="R48" s="3847" t="e">
        <f>E48</f>
        <v>#REF!</v>
      </c>
      <c r="S48" s="3847"/>
      <c r="T48" s="3847" t="e">
        <f>G48</f>
        <v>#REF!</v>
      </c>
      <c r="U48" s="3847"/>
      <c r="V48" s="3847" t="e">
        <f>I48</f>
        <v>#REF!</v>
      </c>
      <c r="W48" s="3847"/>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16" t="str">
        <f>A49</f>
        <v>比较价值（元/平方米）</v>
      </c>
      <c r="Q49" s="3846"/>
      <c r="R49" s="3847" t="e">
        <f>IF(F1="售价",ROUND(PRODUCT(R48,AA7:AA47),0),ROUND(PRODUCT(R48,AA7:AA47),1))</f>
        <v>#REF!</v>
      </c>
      <c r="S49" s="3847"/>
      <c r="T49" s="3847" t="e">
        <f>IF(F1="售价",ROUND(PRODUCT(T48,AB7:AB47),0),ROUND(PRODUCT(T48,AB7:AB47),1))</f>
        <v>#REF!</v>
      </c>
      <c r="U49" s="3847"/>
      <c r="V49" s="3847" t="e">
        <f>IF(F1="售价",ROUND(PRODUCT(V48,AC7:AC47),0),ROUND(PRODUCT(V48,AC7:AC47),1))</f>
        <v>#REF!</v>
      </c>
      <c r="W49" s="3847"/>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48" t="str">
        <f>A50</f>
        <v>估价对象XX用房的比较价值（楼面单价，元/平方米）</v>
      </c>
      <c r="Q50" s="3849"/>
      <c r="R50" s="3850" t="e">
        <f>IF(F1="售价",ROUND(IF(D49="简单平均",AVERAGE(R49:V49),R49*F49+T49*H49+V49*J49),0),ROUND(IF(D49="简单平均",AVERAGE(R49:V49),R49*F49+T49*H49+V49*J49),1))</f>
        <v>#REF!</v>
      </c>
      <c r="S50" s="3850"/>
      <c r="T50" s="3850"/>
      <c r="U50" s="3850"/>
      <c r="V50" s="3850"/>
      <c r="W50" s="3850"/>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ref="P59" si="17">EDATE(O59,-1)</f>
        <v>45078</v>
      </c>
      <c r="Q59" s="3440">
        <f t="shared" ref="Q59" si="18">EDATE(P59,-1)</f>
        <v>45047</v>
      </c>
      <c r="R59" s="3440">
        <f t="shared" ref="R59" si="19">EDATE(Q59,-1)</f>
        <v>45017</v>
      </c>
      <c r="S59" s="3440">
        <f t="shared" ref="S59" si="20">EDATE(R59,-1)</f>
        <v>44986</v>
      </c>
      <c r="T59" s="3440">
        <f t="shared" ref="T59" si="21">EDATE(S59,-1)</f>
        <v>44958</v>
      </c>
      <c r="U59" s="3440">
        <f t="shared" ref="U59" si="22">EDATE(T59,-1)</f>
        <v>44927</v>
      </c>
      <c r="V59" s="3440">
        <f t="shared" ref="V59" si="23">EDATE(U59,-1)</f>
        <v>44896</v>
      </c>
      <c r="W59" s="3440">
        <f t="shared" ref="W59" si="24">EDATE(V59,-1)</f>
        <v>44866</v>
      </c>
      <c r="X59" s="3440">
        <f t="shared" ref="X59" si="25">EDATE(W59,-1)</f>
        <v>44835</v>
      </c>
      <c r="Y59" s="3440">
        <f t="shared" ref="Y59" si="26">EDATE(X59,-1)</f>
        <v>44805</v>
      </c>
      <c r="Z59" s="3440">
        <f t="shared" ref="Z59" si="27">EDATE(Y59,-1)</f>
        <v>44774</v>
      </c>
      <c r="AA59" s="3440">
        <f t="shared" ref="AA59" si="28">EDATE(Z59,-1)</f>
        <v>44743</v>
      </c>
      <c r="AB59" s="3440">
        <f t="shared" ref="AB59" si="29">EDATE(AA59,-1)</f>
        <v>44713</v>
      </c>
      <c r="AC59" s="3440">
        <f t="shared" ref="AC59" si="30">EDATE(AB59,-1)</f>
        <v>44682</v>
      </c>
      <c r="AD59" s="3440">
        <f t="shared" ref="AD59" si="31">EDATE(AC59,-1)</f>
        <v>44652</v>
      </c>
      <c r="AE59" s="3440">
        <f t="shared" ref="AE59" si="32">EDATE(AD59,-1)</f>
        <v>44621</v>
      </c>
      <c r="AF59" s="3440">
        <f t="shared" ref="AF59" si="33">EDATE(AE59,-1)</f>
        <v>44593</v>
      </c>
      <c r="AG59" s="3440">
        <f t="shared" ref="AG59" si="34">EDATE(AF59,-1)</f>
        <v>44562</v>
      </c>
      <c r="AH59" s="3440">
        <f t="shared" ref="AH59" si="35">EDATE(AG59,-1)</f>
        <v>44531</v>
      </c>
      <c r="AI59" s="3440">
        <f t="shared" ref="AI59" si="36">EDATE(AH59,-1)</f>
        <v>44501</v>
      </c>
      <c r="AJ59" s="3440">
        <f t="shared" ref="AJ59" si="37">EDATE(AI59,-1)</f>
        <v>44470</v>
      </c>
      <c r="AK59" s="3440">
        <f t="shared" ref="AK59" si="38">EDATE(AJ59,-1)</f>
        <v>44440</v>
      </c>
      <c r="AL59" s="3440">
        <f t="shared" ref="AL59" si="39">EDATE(AK59,-1)</f>
        <v>44409</v>
      </c>
      <c r="AM59" s="3440">
        <f t="shared" ref="AM59" si="40">EDATE(AL59,-1)</f>
        <v>44378</v>
      </c>
      <c r="AN59" s="3440">
        <f t="shared" ref="AN59" si="41">EDATE(AM59,-1)</f>
        <v>44348</v>
      </c>
      <c r="AO59" s="3440">
        <f t="shared" ref="AO59" si="42">EDATE(AN59,-1)</f>
        <v>44317</v>
      </c>
      <c r="AP59" s="3440">
        <f t="shared" ref="AP59" si="43">EDATE(AO59,-1)</f>
        <v>44287</v>
      </c>
      <c r="AQ59" s="3440">
        <f t="shared" ref="AQ59" si="44">EDATE(AP59,-1)</f>
        <v>44256</v>
      </c>
      <c r="AR59" s="3440">
        <f t="shared" ref="AR59" si="45">EDATE(AQ59,-1)</f>
        <v>44228</v>
      </c>
      <c r="AS59" s="3440">
        <f t="shared" ref="AS59" si="46">EDATE(AR59,-1)</f>
        <v>44197</v>
      </c>
      <c r="AT59" s="3440">
        <f t="shared" ref="AT59" si="47">EDATE(AS59,-1)</f>
        <v>44166</v>
      </c>
      <c r="AU59" s="3440">
        <f t="shared" ref="AU59" si="48">EDATE(AT59,-1)</f>
        <v>44136</v>
      </c>
      <c r="AV59" s="3440">
        <f t="shared" ref="AV59" si="49">EDATE(AU59,-1)</f>
        <v>44105</v>
      </c>
      <c r="AW59" s="3440">
        <f t="shared" ref="AW59" si="50">EDATE(AV59,-1)</f>
        <v>44075</v>
      </c>
      <c r="AX59" s="3440">
        <f t="shared" ref="AX59" si="51">EDATE(AW59,-1)</f>
        <v>44044</v>
      </c>
      <c r="AY59" s="3440">
        <f t="shared" ref="AY59" si="52">EDATE(AX59,-1)</f>
        <v>44013</v>
      </c>
      <c r="AZ59" s="3440">
        <f t="shared" ref="AZ59" si="53">EDATE(AY59,-1)</f>
        <v>43983</v>
      </c>
      <c r="BA59" s="3440">
        <f t="shared" ref="BA59" si="54">EDATE(AZ59,-1)</f>
        <v>43952</v>
      </c>
      <c r="BB59" s="3440">
        <f t="shared" ref="BB59" si="55">EDATE(BA59,-1)</f>
        <v>43922</v>
      </c>
      <c r="BC59" s="3440">
        <f t="shared" ref="BC59" si="56">EDATE(BB59,-1)</f>
        <v>43891</v>
      </c>
      <c r="BD59" s="3440">
        <f t="shared" ref="BD59" si="57">EDATE(BC59,-1)</f>
        <v>43862</v>
      </c>
      <c r="BE59" s="3440">
        <f t="shared" ref="BE59" si="58">EDATE(BD59,-1)</f>
        <v>43831</v>
      </c>
      <c r="BF59" s="3440">
        <f t="shared" ref="BF59" si="59">EDATE(BE59,-1)</f>
        <v>43800</v>
      </c>
      <c r="BG59" s="3440">
        <f t="shared" ref="BG59" si="60">EDATE(BF59,-1)</f>
        <v>43770</v>
      </c>
      <c r="BH59" s="3440">
        <f t="shared" ref="BH59" si="61">EDATE(BG59,-1)</f>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20" t="s">
        <v>1651</v>
      </c>
      <c r="D4" s="3821"/>
      <c r="E4" s="3822" t="s">
        <v>1652</v>
      </c>
      <c r="F4" s="3823"/>
      <c r="G4" s="3820" t="s">
        <v>1653</v>
      </c>
      <c r="H4" s="3821"/>
      <c r="I4" s="3820" t="s">
        <v>1654</v>
      </c>
      <c r="J4" s="3821"/>
      <c r="K4" s="1884" t="s">
        <v>1655</v>
      </c>
      <c r="L4" s="2686"/>
      <c r="M4" s="2687"/>
      <c r="N4" s="2687"/>
      <c r="O4" s="2687"/>
      <c r="P4" s="3854" t="s">
        <v>1656</v>
      </c>
      <c r="Q4" s="3855"/>
      <c r="R4" s="3852" t="s">
        <v>1652</v>
      </c>
      <c r="S4" s="3853"/>
      <c r="T4" s="3852" t="s">
        <v>1653</v>
      </c>
      <c r="U4" s="3853"/>
      <c r="V4" s="3833" t="s">
        <v>1654</v>
      </c>
      <c r="W4" s="3833"/>
      <c r="X4" s="1350"/>
      <c r="Y4" s="3852" t="s">
        <v>1656</v>
      </c>
      <c r="Z4" s="3853"/>
      <c r="AA4" s="3851" t="s">
        <v>1652</v>
      </c>
      <c r="AB4" s="3851" t="s">
        <v>1653</v>
      </c>
      <c r="AC4" s="3851" t="s">
        <v>1654</v>
      </c>
    </row>
    <row r="5" spans="1:29" ht="15">
      <c r="A5" s="358"/>
      <c r="B5" s="359"/>
      <c r="C5" s="3810" t="s">
        <v>1657</v>
      </c>
      <c r="D5" s="3811"/>
      <c r="E5" s="3808" t="s">
        <v>1658</v>
      </c>
      <c r="F5" s="3809"/>
      <c r="G5" s="3810" t="s">
        <v>1659</v>
      </c>
      <c r="H5" s="3811"/>
      <c r="I5" s="3810" t="s">
        <v>1660</v>
      </c>
      <c r="J5" s="3811"/>
      <c r="K5" s="1885"/>
      <c r="L5" s="2686"/>
      <c r="M5" s="2687"/>
      <c r="N5" s="2687"/>
      <c r="O5" s="2687"/>
      <c r="P5" s="3856"/>
      <c r="Q5" s="3827"/>
      <c r="R5" s="3806"/>
      <c r="S5" s="3807"/>
      <c r="T5" s="3806"/>
      <c r="U5" s="3807"/>
      <c r="V5" s="3833"/>
      <c r="W5" s="3833"/>
      <c r="X5" s="1350"/>
      <c r="Y5" s="3806"/>
      <c r="Z5" s="3807"/>
      <c r="AA5" s="3800"/>
      <c r="AB5" s="3800"/>
      <c r="AC5" s="3800"/>
    </row>
    <row r="6" spans="1:29" ht="15.75" thickBot="1">
      <c r="A6" s="360"/>
      <c r="B6" s="361"/>
      <c r="C6" s="3812" t="s">
        <v>1661</v>
      </c>
      <c r="D6" s="3813"/>
      <c r="E6" s="3814" t="s">
        <v>1661</v>
      </c>
      <c r="F6" s="3815"/>
      <c r="G6" s="3812" t="s">
        <v>1661</v>
      </c>
      <c r="H6" s="3813"/>
      <c r="I6" s="3812" t="s">
        <v>1661</v>
      </c>
      <c r="J6" s="3813"/>
      <c r="K6" s="1885" t="s">
        <v>1662</v>
      </c>
      <c r="L6" s="2686"/>
      <c r="M6" s="2687"/>
      <c r="N6" s="2687"/>
      <c r="O6" s="2687"/>
      <c r="P6" s="3857"/>
      <c r="Q6" s="3829"/>
      <c r="R6" s="3806"/>
      <c r="S6" s="3807"/>
      <c r="T6" s="3830"/>
      <c r="U6" s="3831"/>
      <c r="V6" s="3833"/>
      <c r="W6" s="3833"/>
      <c r="X6" s="1350"/>
      <c r="Y6" s="3830"/>
      <c r="Z6" s="3831"/>
      <c r="AA6" s="3801"/>
      <c r="AB6" s="3801"/>
      <c r="AC6" s="3801"/>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02" t="s">
        <v>1664</v>
      </c>
      <c r="Q7" s="3836"/>
      <c r="R7" s="700" t="s">
        <v>20</v>
      </c>
      <c r="S7" s="701">
        <f t="shared" ref="S7:S15" si="0">F7</f>
        <v>0</v>
      </c>
      <c r="T7" s="700" t="s">
        <v>20</v>
      </c>
      <c r="U7" s="701">
        <f t="shared" ref="U7:U15" si="1">H7</f>
        <v>0</v>
      </c>
      <c r="V7" s="700" t="s">
        <v>20</v>
      </c>
      <c r="W7" s="701">
        <f t="shared" ref="W7:W15" si="2">J7</f>
        <v>0</v>
      </c>
      <c r="X7" s="702"/>
      <c r="Y7" s="3802" t="s">
        <v>1664</v>
      </c>
      <c r="Z7" s="3803"/>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02" t="s">
        <v>1667</v>
      </c>
      <c r="Q8" s="3803"/>
      <c r="R8" s="700" t="s">
        <v>20</v>
      </c>
      <c r="S8" s="701">
        <f t="shared" si="0"/>
        <v>100</v>
      </c>
      <c r="T8" s="700" t="s">
        <v>20</v>
      </c>
      <c r="U8" s="701">
        <f t="shared" si="1"/>
        <v>100</v>
      </c>
      <c r="V8" s="700" t="s">
        <v>20</v>
      </c>
      <c r="W8" s="701">
        <f t="shared" si="2"/>
        <v>100</v>
      </c>
      <c r="X8" s="702"/>
      <c r="Y8" s="3802" t="s">
        <v>1667</v>
      </c>
      <c r="Z8" s="3803"/>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16" t="s">
        <v>1670</v>
      </c>
      <c r="Q9" s="1338" t="str">
        <f t="shared" ref="Q9:Q15" si="6">B9</f>
        <v>用途</v>
      </c>
      <c r="R9" s="700" t="s">
        <v>14</v>
      </c>
      <c r="S9" s="701">
        <f t="shared" si="0"/>
        <v>100</v>
      </c>
      <c r="T9" s="700" t="s">
        <v>14</v>
      </c>
      <c r="U9" s="701">
        <f t="shared" si="1"/>
        <v>100</v>
      </c>
      <c r="V9" s="700" t="s">
        <v>14</v>
      </c>
      <c r="W9" s="701">
        <f t="shared" si="2"/>
        <v>100</v>
      </c>
      <c r="X9" s="702"/>
      <c r="Y9" s="3748"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816"/>
      <c r="Q10" s="1338" t="str">
        <f t="shared" si="6"/>
        <v>土地使用年限（年）</v>
      </c>
      <c r="R10" s="700" t="s">
        <v>14</v>
      </c>
      <c r="S10" s="701">
        <f t="shared" si="0"/>
        <v>100</v>
      </c>
      <c r="T10" s="700" t="s">
        <v>14</v>
      </c>
      <c r="U10" s="701">
        <f t="shared" si="1"/>
        <v>100</v>
      </c>
      <c r="V10" s="700" t="s">
        <v>14</v>
      </c>
      <c r="W10" s="701">
        <f t="shared" si="2"/>
        <v>100</v>
      </c>
      <c r="X10" s="702"/>
      <c r="Y10" s="3748"/>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16"/>
      <c r="Q11" s="1338" t="str">
        <f t="shared" si="6"/>
        <v>容积率</v>
      </c>
      <c r="R11" s="700" t="s">
        <v>18</v>
      </c>
      <c r="S11" s="701" t="e">
        <f t="shared" si="0"/>
        <v>#N/A</v>
      </c>
      <c r="T11" s="700" t="s">
        <v>18</v>
      </c>
      <c r="U11" s="701" t="e">
        <f t="shared" si="1"/>
        <v>#N/A</v>
      </c>
      <c r="V11" s="700" t="s">
        <v>18</v>
      </c>
      <c r="W11" s="701" t="e">
        <f t="shared" si="2"/>
        <v>#N/A</v>
      </c>
      <c r="X11" s="702"/>
      <c r="Y11" s="3748"/>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16"/>
      <c r="Q12" s="1338">
        <f t="shared" si="6"/>
        <v>111</v>
      </c>
      <c r="R12" s="700" t="s">
        <v>18</v>
      </c>
      <c r="S12" s="701">
        <f t="shared" si="0"/>
        <v>100</v>
      </c>
      <c r="T12" s="700" t="s">
        <v>18</v>
      </c>
      <c r="U12" s="701">
        <f t="shared" si="1"/>
        <v>100</v>
      </c>
      <c r="V12" s="700" t="s">
        <v>18</v>
      </c>
      <c r="W12" s="701">
        <f t="shared" si="2"/>
        <v>100</v>
      </c>
      <c r="X12" s="702"/>
      <c r="Y12" s="3748"/>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16"/>
      <c r="Q13" s="1338">
        <f t="shared" si="6"/>
        <v>111</v>
      </c>
      <c r="R13" s="700" t="s">
        <v>18</v>
      </c>
      <c r="S13" s="701">
        <f t="shared" si="0"/>
        <v>100</v>
      </c>
      <c r="T13" s="700" t="s">
        <v>18</v>
      </c>
      <c r="U13" s="701">
        <f t="shared" si="1"/>
        <v>100</v>
      </c>
      <c r="V13" s="700" t="s">
        <v>18</v>
      </c>
      <c r="W13" s="701">
        <f t="shared" si="2"/>
        <v>100</v>
      </c>
      <c r="X13" s="702"/>
      <c r="Y13" s="3748"/>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16"/>
      <c r="Q14" s="1338">
        <f t="shared" si="6"/>
        <v>111</v>
      </c>
      <c r="R14" s="700" t="s">
        <v>18</v>
      </c>
      <c r="S14" s="701">
        <f t="shared" si="0"/>
        <v>100</v>
      </c>
      <c r="T14" s="700" t="s">
        <v>18</v>
      </c>
      <c r="U14" s="701">
        <f t="shared" si="1"/>
        <v>100</v>
      </c>
      <c r="V14" s="700" t="s">
        <v>18</v>
      </c>
      <c r="W14" s="701">
        <f t="shared" si="2"/>
        <v>100</v>
      </c>
      <c r="X14" s="702"/>
      <c r="Y14" s="3748"/>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37" t="s">
        <v>1675</v>
      </c>
      <c r="Q15" s="1347" t="str">
        <f t="shared" si="6"/>
        <v>居住社区成熟度</v>
      </c>
      <c r="R15" s="704" t="s">
        <v>18</v>
      </c>
      <c r="S15" s="705">
        <f t="shared" si="0"/>
        <v>100</v>
      </c>
      <c r="T15" s="704" t="s">
        <v>18</v>
      </c>
      <c r="U15" s="705">
        <f t="shared" si="1"/>
        <v>100</v>
      </c>
      <c r="V15" s="704" t="s">
        <v>18</v>
      </c>
      <c r="W15" s="705">
        <f t="shared" si="2"/>
        <v>100</v>
      </c>
      <c r="X15" s="1350"/>
      <c r="Y15" s="3839"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38"/>
      <c r="Q16" s="1347"/>
      <c r="R16" s="704"/>
      <c r="S16" s="705"/>
      <c r="T16" s="704"/>
      <c r="U16" s="705"/>
      <c r="V16" s="704"/>
      <c r="W16" s="705"/>
      <c r="X16" s="1350"/>
      <c r="Y16" s="3840"/>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38"/>
      <c r="Q17" s="1347" t="str">
        <f>B17</f>
        <v>交通便捷度</v>
      </c>
      <c r="R17" s="704" t="s">
        <v>18</v>
      </c>
      <c r="S17" s="705">
        <f>F17</f>
        <v>100</v>
      </c>
      <c r="T17" s="704" t="s">
        <v>18</v>
      </c>
      <c r="U17" s="705">
        <f>H17</f>
        <v>100</v>
      </c>
      <c r="V17" s="704" t="s">
        <v>18</v>
      </c>
      <c r="W17" s="705">
        <f>J17</f>
        <v>100</v>
      </c>
      <c r="X17" s="1350"/>
      <c r="Y17" s="3840"/>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38"/>
      <c r="Q18" s="1347"/>
      <c r="R18" s="704"/>
      <c r="S18" s="705"/>
      <c r="T18" s="704"/>
      <c r="U18" s="705"/>
      <c r="V18" s="704"/>
      <c r="W18" s="705"/>
      <c r="X18" s="1350"/>
      <c r="Y18" s="3840"/>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38"/>
      <c r="Q19" s="1347" t="str">
        <f>B19</f>
        <v>公共配套设施</v>
      </c>
      <c r="R19" s="704" t="s">
        <v>18</v>
      </c>
      <c r="S19" s="705">
        <f>F19</f>
        <v>100</v>
      </c>
      <c r="T19" s="704" t="s">
        <v>18</v>
      </c>
      <c r="U19" s="705">
        <f>H19</f>
        <v>100</v>
      </c>
      <c r="V19" s="704" t="s">
        <v>18</v>
      </c>
      <c r="W19" s="705">
        <f>J19</f>
        <v>100</v>
      </c>
      <c r="X19" s="1350"/>
      <c r="Y19" s="3840"/>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38"/>
      <c r="Q20" s="1347"/>
      <c r="R20" s="704"/>
      <c r="S20" s="705"/>
      <c r="T20" s="704"/>
      <c r="U20" s="705"/>
      <c r="V20" s="704"/>
      <c r="W20" s="705"/>
      <c r="X20" s="1350"/>
      <c r="Y20" s="3840"/>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38"/>
      <c r="Q21" s="1347" t="str">
        <f>B21</f>
        <v>基础设施水平</v>
      </c>
      <c r="R21" s="704" t="s">
        <v>14</v>
      </c>
      <c r="S21" s="705">
        <f>F21</f>
        <v>100</v>
      </c>
      <c r="T21" s="704" t="s">
        <v>14</v>
      </c>
      <c r="U21" s="705">
        <f>H21</f>
        <v>100</v>
      </c>
      <c r="V21" s="704" t="s">
        <v>14</v>
      </c>
      <c r="W21" s="705">
        <f>J21</f>
        <v>100</v>
      </c>
      <c r="X21" s="1350"/>
      <c r="Y21" s="384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38"/>
      <c r="Q22" s="1347"/>
      <c r="R22" s="704"/>
      <c r="S22" s="705"/>
      <c r="T22" s="704"/>
      <c r="U22" s="705"/>
      <c r="V22" s="704"/>
      <c r="W22" s="705"/>
      <c r="X22" s="1350"/>
      <c r="Y22" s="3840"/>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38"/>
      <c r="Q23" s="1347" t="str">
        <f>B23</f>
        <v>自然及人文环境</v>
      </c>
      <c r="R23" s="704" t="s">
        <v>18</v>
      </c>
      <c r="S23" s="705">
        <f>F23</f>
        <v>100</v>
      </c>
      <c r="T23" s="704" t="s">
        <v>18</v>
      </c>
      <c r="U23" s="705">
        <f>H23</f>
        <v>100</v>
      </c>
      <c r="V23" s="704" t="s">
        <v>18</v>
      </c>
      <c r="W23" s="705">
        <f>J23</f>
        <v>100</v>
      </c>
      <c r="X23" s="1350"/>
      <c r="Y23" s="3840"/>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38"/>
      <c r="Q24" s="1347"/>
      <c r="R24" s="704"/>
      <c r="S24" s="705"/>
      <c r="T24" s="704"/>
      <c r="U24" s="705"/>
      <c r="V24" s="704"/>
      <c r="W24" s="705"/>
      <c r="X24" s="1350"/>
      <c r="Y24" s="3840"/>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38"/>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40"/>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38"/>
      <c r="Q26" s="1347" t="str">
        <f t="shared" si="11"/>
        <v>朝向</v>
      </c>
      <c r="R26" s="704" t="s">
        <v>18</v>
      </c>
      <c r="S26" s="705">
        <f t="shared" si="12"/>
        <v>100</v>
      </c>
      <c r="T26" s="704" t="s">
        <v>18</v>
      </c>
      <c r="U26" s="705">
        <f t="shared" si="13"/>
        <v>100</v>
      </c>
      <c r="V26" s="704" t="s">
        <v>18</v>
      </c>
      <c r="W26" s="705">
        <f t="shared" si="14"/>
        <v>100</v>
      </c>
      <c r="X26" s="1350"/>
      <c r="Y26" s="3840"/>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38"/>
      <c r="Q27" s="1338">
        <f t="shared" si="11"/>
        <v>111</v>
      </c>
      <c r="R27" s="700" t="s">
        <v>18</v>
      </c>
      <c r="S27" s="701">
        <f t="shared" si="12"/>
        <v>100</v>
      </c>
      <c r="T27" s="700" t="s">
        <v>18</v>
      </c>
      <c r="U27" s="701">
        <f t="shared" si="13"/>
        <v>100</v>
      </c>
      <c r="V27" s="700" t="s">
        <v>18</v>
      </c>
      <c r="W27" s="701">
        <f t="shared" si="14"/>
        <v>100</v>
      </c>
      <c r="X27" s="702"/>
      <c r="Y27" s="3840"/>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38"/>
      <c r="Q28" s="1347">
        <f t="shared" si="11"/>
        <v>111</v>
      </c>
      <c r="R28" s="704" t="s">
        <v>18</v>
      </c>
      <c r="S28" s="705">
        <f t="shared" si="12"/>
        <v>100</v>
      </c>
      <c r="T28" s="704" t="s">
        <v>18</v>
      </c>
      <c r="U28" s="705">
        <f t="shared" si="13"/>
        <v>100</v>
      </c>
      <c r="V28" s="704" t="s">
        <v>18</v>
      </c>
      <c r="W28" s="705">
        <f t="shared" si="14"/>
        <v>100</v>
      </c>
      <c r="X28" s="1350"/>
      <c r="Y28" s="3840"/>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38"/>
      <c r="Q29" s="1347">
        <f t="shared" si="11"/>
        <v>111</v>
      </c>
      <c r="R29" s="704" t="s">
        <v>18</v>
      </c>
      <c r="S29" s="705">
        <f t="shared" si="12"/>
        <v>100</v>
      </c>
      <c r="T29" s="704" t="s">
        <v>18</v>
      </c>
      <c r="U29" s="705">
        <f t="shared" si="13"/>
        <v>100</v>
      </c>
      <c r="V29" s="704" t="s">
        <v>18</v>
      </c>
      <c r="W29" s="705">
        <f t="shared" si="14"/>
        <v>100</v>
      </c>
      <c r="X29" s="1350"/>
      <c r="Y29" s="3840"/>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38"/>
      <c r="Q30" s="1347">
        <f t="shared" si="11"/>
        <v>111</v>
      </c>
      <c r="R30" s="704" t="s">
        <v>18</v>
      </c>
      <c r="S30" s="705">
        <f t="shared" si="12"/>
        <v>100</v>
      </c>
      <c r="T30" s="704" t="s">
        <v>18</v>
      </c>
      <c r="U30" s="705">
        <f t="shared" si="13"/>
        <v>100</v>
      </c>
      <c r="V30" s="704" t="s">
        <v>18</v>
      </c>
      <c r="W30" s="705">
        <f t="shared" si="14"/>
        <v>100</v>
      </c>
      <c r="X30" s="1350"/>
      <c r="Y30" s="3840"/>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38"/>
      <c r="Q31" s="1347">
        <f t="shared" si="11"/>
        <v>111</v>
      </c>
      <c r="R31" s="704" t="s">
        <v>18</v>
      </c>
      <c r="S31" s="705">
        <f t="shared" si="12"/>
        <v>100</v>
      </c>
      <c r="T31" s="704" t="s">
        <v>18</v>
      </c>
      <c r="U31" s="705">
        <f t="shared" si="13"/>
        <v>100</v>
      </c>
      <c r="V31" s="704" t="s">
        <v>18</v>
      </c>
      <c r="W31" s="705">
        <f t="shared" si="14"/>
        <v>100</v>
      </c>
      <c r="X31" s="1350"/>
      <c r="Y31" s="3840"/>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41" t="s">
        <v>1680</v>
      </c>
      <c r="Q32" s="1347" t="str">
        <f t="shared" si="11"/>
        <v>建筑类型</v>
      </c>
      <c r="R32" s="704" t="s">
        <v>18</v>
      </c>
      <c r="S32" s="705">
        <f t="shared" si="12"/>
        <v>100</v>
      </c>
      <c r="T32" s="704" t="s">
        <v>18</v>
      </c>
      <c r="U32" s="705">
        <f t="shared" si="13"/>
        <v>100</v>
      </c>
      <c r="V32" s="704" t="s">
        <v>18</v>
      </c>
      <c r="W32" s="705">
        <f t="shared" si="14"/>
        <v>100</v>
      </c>
      <c r="X32" s="1350"/>
      <c r="Y32" s="3844"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42"/>
      <c r="Q33" s="706" t="str">
        <f t="shared" si="11"/>
        <v>项目建筑规模</v>
      </c>
      <c r="R33" s="707" t="s">
        <v>18</v>
      </c>
      <c r="S33" s="708" t="e">
        <f t="shared" si="12"/>
        <v>#N/A</v>
      </c>
      <c r="T33" s="707" t="s">
        <v>18</v>
      </c>
      <c r="U33" s="708" t="e">
        <f t="shared" si="13"/>
        <v>#N/A</v>
      </c>
      <c r="V33" s="707" t="s">
        <v>18</v>
      </c>
      <c r="W33" s="708" t="e">
        <f t="shared" si="14"/>
        <v>#N/A</v>
      </c>
      <c r="X33" s="709"/>
      <c r="Y33" s="3844"/>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42"/>
      <c r="Q34" s="1347" t="str">
        <f t="shared" si="11"/>
        <v>建筑结构</v>
      </c>
      <c r="R34" s="704" t="s">
        <v>18</v>
      </c>
      <c r="S34" s="705">
        <f t="shared" si="12"/>
        <v>100</v>
      </c>
      <c r="T34" s="704" t="s">
        <v>18</v>
      </c>
      <c r="U34" s="705">
        <f t="shared" si="13"/>
        <v>100</v>
      </c>
      <c r="V34" s="704" t="s">
        <v>18</v>
      </c>
      <c r="W34" s="705">
        <f t="shared" si="14"/>
        <v>100</v>
      </c>
      <c r="X34" s="1350"/>
      <c r="Y34" s="3844"/>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42"/>
      <c r="Q35" s="1347" t="str">
        <f t="shared" si="11"/>
        <v>建筑品质</v>
      </c>
      <c r="R35" s="704" t="s">
        <v>18</v>
      </c>
      <c r="S35" s="705">
        <f t="shared" si="12"/>
        <v>100</v>
      </c>
      <c r="T35" s="704" t="s">
        <v>18</v>
      </c>
      <c r="U35" s="705">
        <f t="shared" si="13"/>
        <v>100</v>
      </c>
      <c r="V35" s="704" t="s">
        <v>18</v>
      </c>
      <c r="W35" s="705">
        <f t="shared" si="14"/>
        <v>100</v>
      </c>
      <c r="X35" s="1350"/>
      <c r="Y35" s="3844"/>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42"/>
      <c r="Q36" s="1347" t="str">
        <f t="shared" si="11"/>
        <v>公共部分装修</v>
      </c>
      <c r="R36" s="704" t="s">
        <v>18</v>
      </c>
      <c r="S36" s="705">
        <f t="shared" si="12"/>
        <v>100</v>
      </c>
      <c r="T36" s="704" t="s">
        <v>18</v>
      </c>
      <c r="U36" s="705">
        <f t="shared" si="13"/>
        <v>100</v>
      </c>
      <c r="V36" s="704" t="s">
        <v>18</v>
      </c>
      <c r="W36" s="705">
        <f t="shared" si="14"/>
        <v>100</v>
      </c>
      <c r="X36" s="1350"/>
      <c r="Y36" s="3844"/>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42"/>
      <c r="Q37" s="1338" t="str">
        <f t="shared" si="11"/>
        <v>成新度</v>
      </c>
      <c r="R37" s="700" t="s">
        <v>18</v>
      </c>
      <c r="S37" s="701" t="e">
        <f t="shared" si="12"/>
        <v>#N/A</v>
      </c>
      <c r="T37" s="700" t="s">
        <v>18</v>
      </c>
      <c r="U37" s="701" t="e">
        <f t="shared" si="13"/>
        <v>#N/A</v>
      </c>
      <c r="V37" s="700" t="s">
        <v>18</v>
      </c>
      <c r="W37" s="701" t="e">
        <f t="shared" si="14"/>
        <v>#N/A</v>
      </c>
      <c r="X37" s="702"/>
      <c r="Y37" s="3844"/>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42" t="s">
        <v>1680</v>
      </c>
      <c r="Q38" s="1347" t="str">
        <f t="shared" si="11"/>
        <v>物业管理</v>
      </c>
      <c r="R38" s="704" t="s">
        <v>18</v>
      </c>
      <c r="S38" s="705">
        <f t="shared" si="12"/>
        <v>100</v>
      </c>
      <c r="T38" s="704" t="s">
        <v>18</v>
      </c>
      <c r="U38" s="705">
        <f t="shared" si="13"/>
        <v>100</v>
      </c>
      <c r="V38" s="704" t="s">
        <v>18</v>
      </c>
      <c r="W38" s="705">
        <f t="shared" si="14"/>
        <v>100</v>
      </c>
      <c r="X38" s="1350"/>
      <c r="Y38" s="3844"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42"/>
      <c r="Q39" s="1347" t="str">
        <f t="shared" si="11"/>
        <v>市政基础设施</v>
      </c>
      <c r="R39" s="704" t="s">
        <v>18</v>
      </c>
      <c r="S39" s="705">
        <f t="shared" si="12"/>
        <v>100</v>
      </c>
      <c r="T39" s="704" t="s">
        <v>18</v>
      </c>
      <c r="U39" s="705">
        <f t="shared" si="13"/>
        <v>100</v>
      </c>
      <c r="V39" s="704" t="s">
        <v>18</v>
      </c>
      <c r="W39" s="705">
        <f t="shared" si="14"/>
        <v>100</v>
      </c>
      <c r="X39" s="1350"/>
      <c r="Y39" s="3844"/>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42"/>
      <c r="Q40" s="1347" t="str">
        <f t="shared" si="11"/>
        <v>房型</v>
      </c>
      <c r="R40" s="704" t="s">
        <v>18</v>
      </c>
      <c r="S40" s="705">
        <f t="shared" si="12"/>
        <v>100</v>
      </c>
      <c r="T40" s="704" t="s">
        <v>18</v>
      </c>
      <c r="U40" s="705">
        <f t="shared" si="13"/>
        <v>100</v>
      </c>
      <c r="V40" s="704" t="s">
        <v>18</v>
      </c>
      <c r="W40" s="705">
        <f t="shared" si="14"/>
        <v>100</v>
      </c>
      <c r="X40" s="1350"/>
      <c r="Y40" s="3844"/>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42"/>
      <c r="Q41" s="706" t="str">
        <f t="shared" si="11"/>
        <v>单套/主力户型建筑面积</v>
      </c>
      <c r="R41" s="707" t="s">
        <v>18</v>
      </c>
      <c r="S41" s="708">
        <f t="shared" si="12"/>
        <v>100</v>
      </c>
      <c r="T41" s="707" t="s">
        <v>18</v>
      </c>
      <c r="U41" s="708">
        <f t="shared" si="13"/>
        <v>100</v>
      </c>
      <c r="V41" s="707" t="s">
        <v>18</v>
      </c>
      <c r="W41" s="708">
        <f t="shared" si="14"/>
        <v>100</v>
      </c>
      <c r="X41" s="709"/>
      <c r="Y41" s="3844"/>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42"/>
      <c r="Q42" s="1347" t="str">
        <f t="shared" si="11"/>
        <v>内部装修</v>
      </c>
      <c r="R42" s="704" t="s">
        <v>18</v>
      </c>
      <c r="S42" s="705">
        <f t="shared" si="12"/>
        <v>100</v>
      </c>
      <c r="T42" s="704" t="s">
        <v>18</v>
      </c>
      <c r="U42" s="705">
        <f t="shared" si="13"/>
        <v>100</v>
      </c>
      <c r="V42" s="704" t="s">
        <v>18</v>
      </c>
      <c r="W42" s="705">
        <f t="shared" si="14"/>
        <v>100</v>
      </c>
      <c r="X42" s="1350"/>
      <c r="Y42" s="3844"/>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42"/>
      <c r="Q43" s="1347" t="str">
        <f t="shared" si="11"/>
        <v>内部装修维护情况</v>
      </c>
      <c r="R43" s="704" t="s">
        <v>18</v>
      </c>
      <c r="S43" s="705">
        <f t="shared" si="12"/>
        <v>100</v>
      </c>
      <c r="T43" s="704" t="s">
        <v>18</v>
      </c>
      <c r="U43" s="705">
        <f t="shared" si="13"/>
        <v>100</v>
      </c>
      <c r="V43" s="704" t="s">
        <v>18</v>
      </c>
      <c r="W43" s="705">
        <f t="shared" si="14"/>
        <v>100</v>
      </c>
      <c r="X43" s="1350"/>
      <c r="Y43" s="3844"/>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42"/>
      <c r="Q44" s="1338">
        <f t="shared" si="11"/>
        <v>111</v>
      </c>
      <c r="R44" s="700" t="s">
        <v>18</v>
      </c>
      <c r="S44" s="701">
        <f t="shared" si="12"/>
        <v>100</v>
      </c>
      <c r="T44" s="700" t="s">
        <v>18</v>
      </c>
      <c r="U44" s="701">
        <f t="shared" si="13"/>
        <v>100</v>
      </c>
      <c r="V44" s="700" t="s">
        <v>18</v>
      </c>
      <c r="W44" s="701">
        <f t="shared" si="14"/>
        <v>100</v>
      </c>
      <c r="X44" s="702"/>
      <c r="Y44" s="3844"/>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42"/>
      <c r="Q45" s="1347">
        <f t="shared" si="11"/>
        <v>111</v>
      </c>
      <c r="R45" s="704" t="s">
        <v>18</v>
      </c>
      <c r="S45" s="705">
        <f t="shared" si="12"/>
        <v>100</v>
      </c>
      <c r="T45" s="704" t="s">
        <v>18</v>
      </c>
      <c r="U45" s="705">
        <f t="shared" si="13"/>
        <v>100</v>
      </c>
      <c r="V45" s="704" t="s">
        <v>18</v>
      </c>
      <c r="W45" s="705">
        <f t="shared" si="14"/>
        <v>100</v>
      </c>
      <c r="X45" s="1350"/>
      <c r="Y45" s="3844"/>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43"/>
      <c r="Q46" s="1347">
        <f t="shared" si="11"/>
        <v>111</v>
      </c>
      <c r="R46" s="704" t="s">
        <v>17</v>
      </c>
      <c r="S46" s="705">
        <f t="shared" si="12"/>
        <v>100</v>
      </c>
      <c r="T46" s="704" t="s">
        <v>17</v>
      </c>
      <c r="U46" s="705">
        <f t="shared" si="13"/>
        <v>100</v>
      </c>
      <c r="V46" s="704" t="s">
        <v>17</v>
      </c>
      <c r="W46" s="705">
        <f t="shared" si="14"/>
        <v>100</v>
      </c>
      <c r="X46" s="1350"/>
      <c r="Y46" s="3845"/>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46" t="str">
        <f>A47</f>
        <v>成交单价（元/平方米）</v>
      </c>
      <c r="Q47" s="3846"/>
      <c r="R47" s="3847">
        <f>E47</f>
        <v>0</v>
      </c>
      <c r="S47" s="3847"/>
      <c r="T47" s="3847">
        <f>G47</f>
        <v>0</v>
      </c>
      <c r="U47" s="3847"/>
      <c r="V47" s="3847">
        <f>I47</f>
        <v>0</v>
      </c>
      <c r="W47" s="3847"/>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46" t="str">
        <f>A48</f>
        <v>比较价值（元/平方米）</v>
      </c>
      <c r="Q48" s="3846"/>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58" t="str">
        <f>A49</f>
        <v>估价对象XX用房的比较价值（楼面单价，元/平方米）</v>
      </c>
      <c r="Q49" s="3859"/>
      <c r="R49" s="3860" t="e">
        <f>IF(F1="售价",ROUND(IF(D48="简单平均",AVERAGE(R48:V48),R48*F48+T48*H48+V48*J48),0),ROUND(IF(D48="简单平均",AVERAGE(R48:V48),R48*F48+T48*H48+V48*J48),1))</f>
        <v>#DIV/0!</v>
      </c>
      <c r="S49" s="3860"/>
      <c r="T49" s="3860"/>
      <c r="U49" s="3860"/>
      <c r="V49" s="3860"/>
      <c r="W49" s="3860"/>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20" t="s">
        <v>1754</v>
      </c>
      <c r="D4" s="3821"/>
      <c r="E4" s="3822" t="s">
        <v>1755</v>
      </c>
      <c r="F4" s="3823"/>
      <c r="G4" s="3820" t="s">
        <v>1756</v>
      </c>
      <c r="H4" s="3821"/>
      <c r="I4" s="3820" t="s">
        <v>1757</v>
      </c>
      <c r="J4" s="3821"/>
      <c r="K4" s="559" t="s">
        <v>1758</v>
      </c>
      <c r="L4" s="2686"/>
      <c r="M4" s="2687"/>
      <c r="N4" s="2687"/>
      <c r="O4" s="2687"/>
      <c r="P4" s="3854" t="s">
        <v>1759</v>
      </c>
      <c r="Q4" s="3855"/>
      <c r="R4" s="3852" t="s">
        <v>1755</v>
      </c>
      <c r="S4" s="3853"/>
      <c r="T4" s="3852" t="s">
        <v>1756</v>
      </c>
      <c r="U4" s="3853"/>
      <c r="V4" s="3833" t="s">
        <v>1757</v>
      </c>
      <c r="W4" s="3833"/>
      <c r="X4" s="1350"/>
      <c r="Y4" s="3852" t="s">
        <v>1759</v>
      </c>
      <c r="Z4" s="3853"/>
      <c r="AA4" s="3851" t="s">
        <v>1755</v>
      </c>
      <c r="AB4" s="3833" t="s">
        <v>1756</v>
      </c>
      <c r="AC4" s="3851" t="s">
        <v>1757</v>
      </c>
    </row>
    <row r="5" spans="1:29" ht="15">
      <c r="A5" s="358"/>
      <c r="B5" s="359"/>
      <c r="C5" s="3810" t="s">
        <v>1657</v>
      </c>
      <c r="D5" s="3811"/>
      <c r="E5" s="3808" t="s">
        <v>1658</v>
      </c>
      <c r="F5" s="3809"/>
      <c r="G5" s="3810" t="s">
        <v>1659</v>
      </c>
      <c r="H5" s="3811"/>
      <c r="I5" s="3810" t="s">
        <v>1660</v>
      </c>
      <c r="J5" s="3811"/>
      <c r="K5" s="559"/>
      <c r="L5" s="2686"/>
      <c r="M5" s="2687"/>
      <c r="N5" s="2687"/>
      <c r="O5" s="2687"/>
      <c r="P5" s="3856"/>
      <c r="Q5" s="3827"/>
      <c r="R5" s="3806"/>
      <c r="S5" s="3807"/>
      <c r="T5" s="3806"/>
      <c r="U5" s="3807"/>
      <c r="V5" s="3833"/>
      <c r="W5" s="3833"/>
      <c r="X5" s="1350"/>
      <c r="Y5" s="3806"/>
      <c r="Z5" s="3807"/>
      <c r="AA5" s="3800"/>
      <c r="AB5" s="3833"/>
      <c r="AC5" s="3800"/>
    </row>
    <row r="6" spans="1:29" ht="15.75" thickBot="1">
      <c r="A6" s="360"/>
      <c r="B6" s="361"/>
      <c r="C6" s="3812" t="s">
        <v>1661</v>
      </c>
      <c r="D6" s="3813"/>
      <c r="E6" s="3814" t="s">
        <v>1661</v>
      </c>
      <c r="F6" s="3815"/>
      <c r="G6" s="3812" t="s">
        <v>1661</v>
      </c>
      <c r="H6" s="3813"/>
      <c r="I6" s="3812" t="s">
        <v>1661</v>
      </c>
      <c r="J6" s="3813"/>
      <c r="K6" s="559" t="s">
        <v>1662</v>
      </c>
      <c r="L6" s="2686"/>
      <c r="M6" s="2687"/>
      <c r="N6" s="2687"/>
      <c r="O6" s="2687"/>
      <c r="P6" s="3857"/>
      <c r="Q6" s="3829"/>
      <c r="R6" s="3806"/>
      <c r="S6" s="3807"/>
      <c r="T6" s="3830"/>
      <c r="U6" s="3831"/>
      <c r="V6" s="3833"/>
      <c r="W6" s="3833"/>
      <c r="X6" s="1350"/>
      <c r="Y6" s="3830"/>
      <c r="Z6" s="3831"/>
      <c r="AA6" s="3801"/>
      <c r="AB6" s="3833"/>
      <c r="AC6" s="3801"/>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02" t="s">
        <v>1664</v>
      </c>
      <c r="Q7" s="3836"/>
      <c r="R7" s="700" t="s">
        <v>14</v>
      </c>
      <c r="S7" s="701">
        <f t="shared" ref="S7:S15" si="0">F7</f>
        <v>0</v>
      </c>
      <c r="T7" s="700" t="s">
        <v>14</v>
      </c>
      <c r="U7" s="701">
        <f t="shared" ref="U7:U15" si="1">H7</f>
        <v>0</v>
      </c>
      <c r="V7" s="700" t="s">
        <v>14</v>
      </c>
      <c r="W7" s="701">
        <f t="shared" ref="W7:W15" si="2">J7</f>
        <v>0</v>
      </c>
      <c r="X7" s="702"/>
      <c r="Y7" s="3802" t="s">
        <v>1664</v>
      </c>
      <c r="Z7" s="3803"/>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02" t="s">
        <v>1667</v>
      </c>
      <c r="Q8" s="3803"/>
      <c r="R8" s="700" t="s">
        <v>14</v>
      </c>
      <c r="S8" s="701">
        <f t="shared" si="0"/>
        <v>100</v>
      </c>
      <c r="T8" s="700" t="s">
        <v>14</v>
      </c>
      <c r="U8" s="701">
        <f t="shared" si="1"/>
        <v>100</v>
      </c>
      <c r="V8" s="700" t="s">
        <v>14</v>
      </c>
      <c r="W8" s="701">
        <f t="shared" si="2"/>
        <v>100</v>
      </c>
      <c r="X8" s="702"/>
      <c r="Y8" s="3802" t="s">
        <v>1667</v>
      </c>
      <c r="Z8" s="3803"/>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16" t="s">
        <v>1670</v>
      </c>
      <c r="Q9" s="1338" t="str">
        <f t="shared" ref="Q9:Q15" si="6">B9</f>
        <v>用途</v>
      </c>
      <c r="R9" s="700" t="s">
        <v>14</v>
      </c>
      <c r="S9" s="701">
        <f t="shared" si="0"/>
        <v>100</v>
      </c>
      <c r="T9" s="700" t="s">
        <v>14</v>
      </c>
      <c r="U9" s="701">
        <f t="shared" si="1"/>
        <v>100</v>
      </c>
      <c r="V9" s="700" t="s">
        <v>14</v>
      </c>
      <c r="W9" s="701">
        <f t="shared" si="2"/>
        <v>100</v>
      </c>
      <c r="X9" s="702"/>
      <c r="Y9" s="3748"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816"/>
      <c r="Q10" s="1338" t="str">
        <f t="shared" si="6"/>
        <v>土地使用年限（年）</v>
      </c>
      <c r="R10" s="700" t="s">
        <v>14</v>
      </c>
      <c r="S10" s="701">
        <f t="shared" si="0"/>
        <v>100</v>
      </c>
      <c r="T10" s="700" t="s">
        <v>14</v>
      </c>
      <c r="U10" s="701">
        <f t="shared" si="1"/>
        <v>100</v>
      </c>
      <c r="V10" s="700" t="s">
        <v>14</v>
      </c>
      <c r="W10" s="701">
        <f t="shared" si="2"/>
        <v>100</v>
      </c>
      <c r="X10" s="702"/>
      <c r="Y10" s="3748"/>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16"/>
      <c r="Q11" s="1338" t="str">
        <f t="shared" si="6"/>
        <v>容积率</v>
      </c>
      <c r="R11" s="700" t="s">
        <v>14</v>
      </c>
      <c r="S11" s="701" t="e">
        <f t="shared" si="0"/>
        <v>#N/A</v>
      </c>
      <c r="T11" s="700" t="s">
        <v>14</v>
      </c>
      <c r="U11" s="701" t="e">
        <f t="shared" si="1"/>
        <v>#N/A</v>
      </c>
      <c r="V11" s="700" t="s">
        <v>14</v>
      </c>
      <c r="W11" s="701" t="e">
        <f t="shared" si="2"/>
        <v>#N/A</v>
      </c>
      <c r="X11" s="702"/>
      <c r="Y11" s="3748"/>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16"/>
      <c r="Q12" s="1338">
        <f t="shared" si="6"/>
        <v>111</v>
      </c>
      <c r="R12" s="700" t="s">
        <v>14</v>
      </c>
      <c r="S12" s="701">
        <f t="shared" si="0"/>
        <v>100</v>
      </c>
      <c r="T12" s="700" t="s">
        <v>14</v>
      </c>
      <c r="U12" s="701">
        <f t="shared" si="1"/>
        <v>100</v>
      </c>
      <c r="V12" s="700" t="s">
        <v>14</v>
      </c>
      <c r="W12" s="701">
        <f t="shared" si="2"/>
        <v>100</v>
      </c>
      <c r="X12" s="702"/>
      <c r="Y12" s="3748"/>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16"/>
      <c r="Q13" s="1338">
        <f t="shared" si="6"/>
        <v>111</v>
      </c>
      <c r="R13" s="700" t="s">
        <v>14</v>
      </c>
      <c r="S13" s="701">
        <f t="shared" si="0"/>
        <v>100</v>
      </c>
      <c r="T13" s="700" t="s">
        <v>14</v>
      </c>
      <c r="U13" s="701">
        <f t="shared" si="1"/>
        <v>100</v>
      </c>
      <c r="V13" s="700" t="s">
        <v>14</v>
      </c>
      <c r="W13" s="701">
        <f t="shared" si="2"/>
        <v>100</v>
      </c>
      <c r="X13" s="702"/>
      <c r="Y13" s="3748"/>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16"/>
      <c r="Q14" s="1338">
        <f t="shared" si="6"/>
        <v>111</v>
      </c>
      <c r="R14" s="700" t="s">
        <v>14</v>
      </c>
      <c r="S14" s="701">
        <f t="shared" si="0"/>
        <v>100</v>
      </c>
      <c r="T14" s="700" t="s">
        <v>14</v>
      </c>
      <c r="U14" s="701">
        <f t="shared" si="1"/>
        <v>100</v>
      </c>
      <c r="V14" s="700" t="s">
        <v>14</v>
      </c>
      <c r="W14" s="701">
        <f t="shared" si="2"/>
        <v>100</v>
      </c>
      <c r="X14" s="702"/>
      <c r="Y14" s="3748"/>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37" t="s">
        <v>1675</v>
      </c>
      <c r="Q15" s="1347" t="str">
        <f t="shared" si="6"/>
        <v>商业繁华度</v>
      </c>
      <c r="R15" s="704" t="s">
        <v>14</v>
      </c>
      <c r="S15" s="705">
        <f t="shared" si="0"/>
        <v>100</v>
      </c>
      <c r="T15" s="704" t="s">
        <v>14</v>
      </c>
      <c r="U15" s="705">
        <f t="shared" si="1"/>
        <v>100</v>
      </c>
      <c r="V15" s="704" t="s">
        <v>14</v>
      </c>
      <c r="W15" s="705">
        <f t="shared" si="2"/>
        <v>100</v>
      </c>
      <c r="X15" s="1350"/>
      <c r="Y15" s="3839"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38"/>
      <c r="Q16" s="1347"/>
      <c r="R16" s="704"/>
      <c r="S16" s="705"/>
      <c r="T16" s="704"/>
      <c r="U16" s="705"/>
      <c r="V16" s="704"/>
      <c r="W16" s="705"/>
      <c r="X16" s="1350"/>
      <c r="Y16" s="3840"/>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38"/>
      <c r="Q17" s="1347" t="str">
        <f>B17</f>
        <v>交通便捷度</v>
      </c>
      <c r="R17" s="704" t="s">
        <v>14</v>
      </c>
      <c r="S17" s="705">
        <f>F17</f>
        <v>100</v>
      </c>
      <c r="T17" s="704" t="s">
        <v>14</v>
      </c>
      <c r="U17" s="705">
        <f>H17</f>
        <v>100</v>
      </c>
      <c r="V17" s="704" t="s">
        <v>14</v>
      </c>
      <c r="W17" s="705">
        <f>J17</f>
        <v>100</v>
      </c>
      <c r="X17" s="1350"/>
      <c r="Y17" s="384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38"/>
      <c r="Q18" s="1347"/>
      <c r="R18" s="704"/>
      <c r="S18" s="705"/>
      <c r="T18" s="704"/>
      <c r="U18" s="705"/>
      <c r="V18" s="704"/>
      <c r="W18" s="705"/>
      <c r="X18" s="1350"/>
      <c r="Y18" s="3840"/>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38"/>
      <c r="Q19" s="1347" t="str">
        <f>B19</f>
        <v>公共配套设施</v>
      </c>
      <c r="R19" s="704" t="s">
        <v>14</v>
      </c>
      <c r="S19" s="705">
        <f>F19</f>
        <v>100</v>
      </c>
      <c r="T19" s="704" t="s">
        <v>14</v>
      </c>
      <c r="U19" s="705">
        <f>H19</f>
        <v>100</v>
      </c>
      <c r="V19" s="704" t="s">
        <v>14</v>
      </c>
      <c r="W19" s="705">
        <f>J19</f>
        <v>100</v>
      </c>
      <c r="X19" s="1350"/>
      <c r="Y19" s="384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38"/>
      <c r="Q20" s="1347"/>
      <c r="R20" s="704"/>
      <c r="S20" s="705"/>
      <c r="T20" s="704"/>
      <c r="U20" s="705"/>
      <c r="V20" s="704"/>
      <c r="W20" s="705"/>
      <c r="X20" s="1350"/>
      <c r="Y20" s="3840"/>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38"/>
      <c r="Q21" s="1347" t="str">
        <f>B21</f>
        <v>基础设施水平</v>
      </c>
      <c r="R21" s="704" t="s">
        <v>14</v>
      </c>
      <c r="S21" s="705">
        <f>F21</f>
        <v>100</v>
      </c>
      <c r="T21" s="704" t="s">
        <v>14</v>
      </c>
      <c r="U21" s="705">
        <f>H21</f>
        <v>100</v>
      </c>
      <c r="V21" s="704" t="s">
        <v>14</v>
      </c>
      <c r="W21" s="705">
        <f>J21</f>
        <v>100</v>
      </c>
      <c r="X21" s="1350"/>
      <c r="Y21" s="384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38"/>
      <c r="Q22" s="1347"/>
      <c r="R22" s="704"/>
      <c r="S22" s="705"/>
      <c r="T22" s="704"/>
      <c r="U22" s="705"/>
      <c r="V22" s="704"/>
      <c r="W22" s="705"/>
      <c r="X22" s="1350"/>
      <c r="Y22" s="3840"/>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38"/>
      <c r="Q23" s="1347" t="str">
        <f>B23</f>
        <v>自然及人文环境</v>
      </c>
      <c r="R23" s="704" t="s">
        <v>14</v>
      </c>
      <c r="S23" s="705">
        <f>F23</f>
        <v>100</v>
      </c>
      <c r="T23" s="704" t="s">
        <v>14</v>
      </c>
      <c r="U23" s="705">
        <f>H23</f>
        <v>100</v>
      </c>
      <c r="V23" s="704" t="s">
        <v>14</v>
      </c>
      <c r="W23" s="705">
        <f>J23</f>
        <v>100</v>
      </c>
      <c r="X23" s="1350"/>
      <c r="Y23" s="3840"/>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38"/>
      <c r="Q24" s="1347"/>
      <c r="R24" s="704"/>
      <c r="S24" s="705"/>
      <c r="T24" s="704"/>
      <c r="U24" s="705"/>
      <c r="V24" s="704"/>
      <c r="W24" s="705"/>
      <c r="X24" s="1350"/>
      <c r="Y24" s="3840"/>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38"/>
      <c r="Q25" s="1347" t="str">
        <f t="shared" ref="Q25:Q46" si="11">B25</f>
        <v>临街状况</v>
      </c>
      <c r="R25" s="704" t="s">
        <v>14</v>
      </c>
      <c r="S25" s="705">
        <f>F25</f>
        <v>100</v>
      </c>
      <c r="T25" s="704" t="s">
        <v>14</v>
      </c>
      <c r="U25" s="705">
        <f>H25</f>
        <v>100</v>
      </c>
      <c r="V25" s="704" t="s">
        <v>14</v>
      </c>
      <c r="W25" s="705">
        <f>J25</f>
        <v>100</v>
      </c>
      <c r="X25" s="1350"/>
      <c r="Y25" s="3840"/>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38"/>
      <c r="Q26" s="1347" t="str">
        <f t="shared" si="11"/>
        <v>平面位置/可视性</v>
      </c>
      <c r="R26" s="704" t="s">
        <v>14</v>
      </c>
      <c r="S26" s="705">
        <f>F26</f>
        <v>100</v>
      </c>
      <c r="T26" s="704" t="s">
        <v>14</v>
      </c>
      <c r="U26" s="705">
        <f>H26</f>
        <v>100</v>
      </c>
      <c r="V26" s="704" t="s">
        <v>14</v>
      </c>
      <c r="W26" s="705">
        <f>J26</f>
        <v>100</v>
      </c>
      <c r="X26" s="1350"/>
      <c r="Y26" s="3840"/>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38"/>
      <c r="Q27" s="1338" t="str">
        <f t="shared" si="11"/>
        <v>人流量</v>
      </c>
      <c r="R27" s="700" t="s">
        <v>14</v>
      </c>
      <c r="S27" s="701">
        <f>F27</f>
        <v>100</v>
      </c>
      <c r="T27" s="700" t="s">
        <v>14</v>
      </c>
      <c r="U27" s="701">
        <f>H27</f>
        <v>100</v>
      </c>
      <c r="V27" s="700" t="s">
        <v>14</v>
      </c>
      <c r="W27" s="701">
        <f>J27</f>
        <v>100</v>
      </c>
      <c r="X27" s="702"/>
      <c r="Y27" s="3840"/>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38"/>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40"/>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38"/>
      <c r="Q29" s="1347">
        <f t="shared" si="11"/>
        <v>111</v>
      </c>
      <c r="R29" s="704" t="s">
        <v>14</v>
      </c>
      <c r="S29" s="705">
        <f t="shared" si="12"/>
        <v>100</v>
      </c>
      <c r="T29" s="704" t="s">
        <v>14</v>
      </c>
      <c r="U29" s="705">
        <f t="shared" si="13"/>
        <v>100</v>
      </c>
      <c r="V29" s="704" t="s">
        <v>14</v>
      </c>
      <c r="W29" s="705">
        <f t="shared" si="14"/>
        <v>100</v>
      </c>
      <c r="X29" s="1350"/>
      <c r="Y29" s="3840"/>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38"/>
      <c r="Q30" s="1347">
        <f t="shared" si="11"/>
        <v>111</v>
      </c>
      <c r="R30" s="704" t="s">
        <v>14</v>
      </c>
      <c r="S30" s="705">
        <f t="shared" si="12"/>
        <v>100</v>
      </c>
      <c r="T30" s="704" t="s">
        <v>14</v>
      </c>
      <c r="U30" s="705">
        <f t="shared" si="13"/>
        <v>100</v>
      </c>
      <c r="V30" s="704" t="s">
        <v>14</v>
      </c>
      <c r="W30" s="705">
        <f t="shared" si="14"/>
        <v>100</v>
      </c>
      <c r="X30" s="1350"/>
      <c r="Y30" s="3840"/>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38"/>
      <c r="Q31" s="1347">
        <f t="shared" si="11"/>
        <v>111</v>
      </c>
      <c r="R31" s="704" t="s">
        <v>14</v>
      </c>
      <c r="S31" s="705">
        <f t="shared" si="12"/>
        <v>100</v>
      </c>
      <c r="T31" s="704" t="s">
        <v>14</v>
      </c>
      <c r="U31" s="705">
        <f t="shared" si="13"/>
        <v>100</v>
      </c>
      <c r="V31" s="704" t="s">
        <v>14</v>
      </c>
      <c r="W31" s="705">
        <f t="shared" si="14"/>
        <v>100</v>
      </c>
      <c r="X31" s="1350"/>
      <c r="Y31" s="3840"/>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41" t="s">
        <v>1680</v>
      </c>
      <c r="Q32" s="1347" t="str">
        <f t="shared" si="11"/>
        <v>商业类型</v>
      </c>
      <c r="R32" s="704" t="s">
        <v>14</v>
      </c>
      <c r="S32" s="705">
        <f t="shared" si="12"/>
        <v>100</v>
      </c>
      <c r="T32" s="704" t="s">
        <v>14</v>
      </c>
      <c r="U32" s="705">
        <f t="shared" si="13"/>
        <v>100</v>
      </c>
      <c r="V32" s="704" t="s">
        <v>14</v>
      </c>
      <c r="W32" s="705">
        <f t="shared" si="14"/>
        <v>100</v>
      </c>
      <c r="X32" s="1350"/>
      <c r="Y32" s="3844"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42"/>
      <c r="Q33" s="706" t="str">
        <f t="shared" si="11"/>
        <v>项目建筑规模</v>
      </c>
      <c r="R33" s="707" t="s">
        <v>14</v>
      </c>
      <c r="S33" s="708" t="e">
        <f t="shared" si="12"/>
        <v>#N/A</v>
      </c>
      <c r="T33" s="707" t="s">
        <v>14</v>
      </c>
      <c r="U33" s="708" t="e">
        <f t="shared" si="13"/>
        <v>#N/A</v>
      </c>
      <c r="V33" s="707" t="s">
        <v>14</v>
      </c>
      <c r="W33" s="708" t="e">
        <f t="shared" si="14"/>
        <v>#N/A</v>
      </c>
      <c r="X33" s="709"/>
      <c r="Y33" s="3844"/>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42"/>
      <c r="Q34" s="1347" t="str">
        <f t="shared" si="11"/>
        <v>建筑结构</v>
      </c>
      <c r="R34" s="704" t="s">
        <v>14</v>
      </c>
      <c r="S34" s="705">
        <f t="shared" si="12"/>
        <v>100</v>
      </c>
      <c r="T34" s="704" t="s">
        <v>14</v>
      </c>
      <c r="U34" s="705">
        <f t="shared" si="13"/>
        <v>100</v>
      </c>
      <c r="V34" s="704" t="s">
        <v>14</v>
      </c>
      <c r="W34" s="705">
        <f t="shared" si="14"/>
        <v>100</v>
      </c>
      <c r="X34" s="1350"/>
      <c r="Y34" s="3844"/>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42"/>
      <c r="Q35" s="1347" t="str">
        <f t="shared" si="11"/>
        <v>公共部分装修</v>
      </c>
      <c r="R35" s="704" t="s">
        <v>14</v>
      </c>
      <c r="S35" s="705">
        <f t="shared" si="12"/>
        <v>100</v>
      </c>
      <c r="T35" s="704" t="s">
        <v>14</v>
      </c>
      <c r="U35" s="705">
        <f t="shared" si="13"/>
        <v>100</v>
      </c>
      <c r="V35" s="704" t="s">
        <v>14</v>
      </c>
      <c r="W35" s="705">
        <f t="shared" si="14"/>
        <v>100</v>
      </c>
      <c r="X35" s="1350"/>
      <c r="Y35" s="3844"/>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42"/>
      <c r="Q36" s="1347" t="str">
        <f t="shared" si="11"/>
        <v>成新度</v>
      </c>
      <c r="R36" s="704" t="s">
        <v>14</v>
      </c>
      <c r="S36" s="705" t="e">
        <f t="shared" si="12"/>
        <v>#N/A</v>
      </c>
      <c r="T36" s="704" t="s">
        <v>14</v>
      </c>
      <c r="U36" s="705" t="e">
        <f t="shared" si="13"/>
        <v>#N/A</v>
      </c>
      <c r="V36" s="704" t="s">
        <v>14</v>
      </c>
      <c r="W36" s="705" t="e">
        <f t="shared" si="14"/>
        <v>#N/A</v>
      </c>
      <c r="X36" s="1350"/>
      <c r="Y36" s="3844"/>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42"/>
      <c r="Q37" s="1338" t="str">
        <f t="shared" si="11"/>
        <v>市政基础设施</v>
      </c>
      <c r="R37" s="700" t="s">
        <v>14</v>
      </c>
      <c r="S37" s="701">
        <f t="shared" si="12"/>
        <v>100</v>
      </c>
      <c r="T37" s="700" t="s">
        <v>14</v>
      </c>
      <c r="U37" s="701">
        <f t="shared" si="13"/>
        <v>100</v>
      </c>
      <c r="V37" s="700" t="s">
        <v>14</v>
      </c>
      <c r="W37" s="701">
        <f t="shared" si="14"/>
        <v>100</v>
      </c>
      <c r="X37" s="702"/>
      <c r="Y37" s="3844"/>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42" t="s">
        <v>1680</v>
      </c>
      <c r="Q38" s="1347" t="str">
        <f t="shared" si="11"/>
        <v>业态</v>
      </c>
      <c r="R38" s="704" t="s">
        <v>14</v>
      </c>
      <c r="S38" s="705">
        <f t="shared" si="12"/>
        <v>100</v>
      </c>
      <c r="T38" s="704" t="s">
        <v>14</v>
      </c>
      <c r="U38" s="705">
        <f t="shared" si="13"/>
        <v>100</v>
      </c>
      <c r="V38" s="704" t="s">
        <v>14</v>
      </c>
      <c r="W38" s="705">
        <f t="shared" si="14"/>
        <v>100</v>
      </c>
      <c r="X38" s="1350"/>
      <c r="Y38" s="3844"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42"/>
      <c r="Q39" s="1347" t="str">
        <f t="shared" si="11"/>
        <v>层高</v>
      </c>
      <c r="R39" s="704" t="s">
        <v>14</v>
      </c>
      <c r="S39" s="705">
        <f t="shared" si="12"/>
        <v>100</v>
      </c>
      <c r="T39" s="704" t="s">
        <v>14</v>
      </c>
      <c r="U39" s="705">
        <f t="shared" si="13"/>
        <v>100</v>
      </c>
      <c r="V39" s="704" t="s">
        <v>14</v>
      </c>
      <c r="W39" s="705">
        <f t="shared" si="14"/>
        <v>100</v>
      </c>
      <c r="X39" s="1350"/>
      <c r="Y39" s="3844"/>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42"/>
      <c r="Q40" s="1347" t="str">
        <f t="shared" si="11"/>
        <v>单套建筑面积</v>
      </c>
      <c r="R40" s="704" t="s">
        <v>14</v>
      </c>
      <c r="S40" s="705">
        <f t="shared" si="12"/>
        <v>100</v>
      </c>
      <c r="T40" s="704" t="s">
        <v>14</v>
      </c>
      <c r="U40" s="705">
        <f t="shared" si="13"/>
        <v>100</v>
      </c>
      <c r="V40" s="704" t="s">
        <v>14</v>
      </c>
      <c r="W40" s="705">
        <f t="shared" si="14"/>
        <v>100</v>
      </c>
      <c r="X40" s="1350"/>
      <c r="Y40" s="3844"/>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42"/>
      <c r="Q41" s="706" t="str">
        <f t="shared" si="11"/>
        <v>进深比</v>
      </c>
      <c r="R41" s="707" t="s">
        <v>14</v>
      </c>
      <c r="S41" s="708">
        <f t="shared" si="12"/>
        <v>100</v>
      </c>
      <c r="T41" s="707" t="s">
        <v>14</v>
      </c>
      <c r="U41" s="708">
        <f t="shared" si="13"/>
        <v>100</v>
      </c>
      <c r="V41" s="707" t="s">
        <v>14</v>
      </c>
      <c r="W41" s="708">
        <f t="shared" si="14"/>
        <v>100</v>
      </c>
      <c r="X41" s="709"/>
      <c r="Y41" s="3844"/>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42"/>
      <c r="Q42" s="1347" t="str">
        <f t="shared" si="11"/>
        <v>内部装修</v>
      </c>
      <c r="R42" s="704" t="s">
        <v>14</v>
      </c>
      <c r="S42" s="705">
        <f t="shared" si="12"/>
        <v>100</v>
      </c>
      <c r="T42" s="704" t="s">
        <v>14</v>
      </c>
      <c r="U42" s="705">
        <f t="shared" si="13"/>
        <v>100</v>
      </c>
      <c r="V42" s="704" t="s">
        <v>14</v>
      </c>
      <c r="W42" s="705">
        <f t="shared" si="14"/>
        <v>100</v>
      </c>
      <c r="X42" s="1350"/>
      <c r="Y42" s="3844"/>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42"/>
      <c r="Q43" s="1347" t="str">
        <f t="shared" si="11"/>
        <v>内部装修维护情况</v>
      </c>
      <c r="R43" s="704" t="s">
        <v>14</v>
      </c>
      <c r="S43" s="705">
        <f t="shared" si="12"/>
        <v>100</v>
      </c>
      <c r="T43" s="704" t="s">
        <v>14</v>
      </c>
      <c r="U43" s="705">
        <f t="shared" si="13"/>
        <v>100</v>
      </c>
      <c r="V43" s="704" t="s">
        <v>14</v>
      </c>
      <c r="W43" s="705">
        <f t="shared" si="14"/>
        <v>100</v>
      </c>
      <c r="X43" s="1350"/>
      <c r="Y43" s="3844"/>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42"/>
      <c r="Q44" s="1338">
        <f t="shared" si="11"/>
        <v>111</v>
      </c>
      <c r="R44" s="700" t="s">
        <v>14</v>
      </c>
      <c r="S44" s="701">
        <f t="shared" si="12"/>
        <v>100</v>
      </c>
      <c r="T44" s="700" t="s">
        <v>14</v>
      </c>
      <c r="U44" s="701">
        <f t="shared" si="13"/>
        <v>100</v>
      </c>
      <c r="V44" s="700" t="s">
        <v>14</v>
      </c>
      <c r="W44" s="701">
        <f t="shared" si="14"/>
        <v>100</v>
      </c>
      <c r="X44" s="702"/>
      <c r="Y44" s="3844"/>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42"/>
      <c r="Q45" s="1347">
        <f t="shared" si="11"/>
        <v>111</v>
      </c>
      <c r="R45" s="704" t="s">
        <v>14</v>
      </c>
      <c r="S45" s="705">
        <f t="shared" si="12"/>
        <v>100</v>
      </c>
      <c r="T45" s="704" t="s">
        <v>14</v>
      </c>
      <c r="U45" s="705">
        <f t="shared" si="13"/>
        <v>100</v>
      </c>
      <c r="V45" s="704" t="s">
        <v>14</v>
      </c>
      <c r="W45" s="705">
        <f t="shared" si="14"/>
        <v>100</v>
      </c>
      <c r="X45" s="1350"/>
      <c r="Y45" s="3844"/>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43"/>
      <c r="Q46" s="1347">
        <f t="shared" si="11"/>
        <v>111</v>
      </c>
      <c r="R46" s="704" t="s">
        <v>14</v>
      </c>
      <c r="S46" s="705">
        <f t="shared" si="12"/>
        <v>100</v>
      </c>
      <c r="T46" s="704" t="s">
        <v>14</v>
      </c>
      <c r="U46" s="705">
        <f t="shared" si="13"/>
        <v>100</v>
      </c>
      <c r="V46" s="704" t="s">
        <v>14</v>
      </c>
      <c r="W46" s="705">
        <f t="shared" si="14"/>
        <v>100</v>
      </c>
      <c r="X46" s="1350"/>
      <c r="Y46" s="3845"/>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46" t="str">
        <f>A47</f>
        <v>成交单价（元/平方米）</v>
      </c>
      <c r="Q47" s="3846"/>
      <c r="R47" s="3833">
        <f>E47</f>
        <v>0</v>
      </c>
      <c r="S47" s="3833"/>
      <c r="T47" s="3833">
        <f>G47</f>
        <v>0</v>
      </c>
      <c r="U47" s="3833"/>
      <c r="V47" s="3833">
        <f>I47</f>
        <v>0</v>
      </c>
      <c r="W47" s="3833"/>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46" t="str">
        <f>A48</f>
        <v>比较价值（元/平方米）</v>
      </c>
      <c r="Q48" s="3846"/>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58" t="str">
        <f>A49</f>
        <v>估价对象XX用房的比较价值（楼面单价，元/平方米）</v>
      </c>
      <c r="Q49" s="3859"/>
      <c r="R49" s="3860" t="e">
        <f>IF(F1="售价",ROUND(IF(D48="简单平均",AVERAGE(R48:V48),R48*F48+T48*H48+V48*J48),0),ROUND(IF(D48="简单平均",AVERAGE(R48:V48),R48*F48+T48*H48+V48*J48),1))</f>
        <v>#DIV/0!</v>
      </c>
      <c r="S49" s="3860"/>
      <c r="T49" s="3860"/>
      <c r="U49" s="3860"/>
      <c r="V49" s="3860"/>
      <c r="W49" s="3860"/>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20" t="s">
        <v>1754</v>
      </c>
      <c r="D4" s="3821"/>
      <c r="E4" s="3822" t="s">
        <v>1755</v>
      </c>
      <c r="F4" s="3823"/>
      <c r="G4" s="3820" t="s">
        <v>1756</v>
      </c>
      <c r="H4" s="3821"/>
      <c r="I4" s="3820" t="s">
        <v>1757</v>
      </c>
      <c r="J4" s="3821"/>
      <c r="K4" s="559" t="s">
        <v>1758</v>
      </c>
      <c r="L4" s="909"/>
      <c r="M4" s="910"/>
      <c r="N4" s="910"/>
      <c r="O4" s="910"/>
      <c r="P4" s="3854" t="s">
        <v>1759</v>
      </c>
      <c r="Q4" s="3855"/>
      <c r="R4" s="3852" t="s">
        <v>1755</v>
      </c>
      <c r="S4" s="3853"/>
      <c r="T4" s="3852" t="s">
        <v>1756</v>
      </c>
      <c r="U4" s="3853"/>
      <c r="V4" s="3833" t="s">
        <v>1757</v>
      </c>
      <c r="W4" s="3833"/>
      <c r="X4" s="1350"/>
      <c r="Y4" s="3852" t="s">
        <v>1759</v>
      </c>
      <c r="Z4" s="3853"/>
      <c r="AA4" s="3851" t="s">
        <v>1755</v>
      </c>
      <c r="AB4" s="3800" t="s">
        <v>1756</v>
      </c>
      <c r="AC4" s="3851" t="s">
        <v>1757</v>
      </c>
    </row>
    <row r="5" spans="1:29" ht="15">
      <c r="A5" s="358"/>
      <c r="B5" s="359"/>
      <c r="C5" s="3810" t="s">
        <v>1657</v>
      </c>
      <c r="D5" s="3811"/>
      <c r="E5" s="3808" t="s">
        <v>1658</v>
      </c>
      <c r="F5" s="3809"/>
      <c r="G5" s="3810" t="s">
        <v>1659</v>
      </c>
      <c r="H5" s="3811"/>
      <c r="I5" s="3810" t="s">
        <v>1660</v>
      </c>
      <c r="J5" s="3811"/>
      <c r="K5" s="559"/>
      <c r="L5" s="909"/>
      <c r="M5" s="910"/>
      <c r="N5" s="910"/>
      <c r="O5" s="910"/>
      <c r="P5" s="3856"/>
      <c r="Q5" s="3827"/>
      <c r="R5" s="3806"/>
      <c r="S5" s="3807"/>
      <c r="T5" s="3806"/>
      <c r="U5" s="3807"/>
      <c r="V5" s="3833"/>
      <c r="W5" s="3833"/>
      <c r="X5" s="1350"/>
      <c r="Y5" s="3806"/>
      <c r="Z5" s="3807"/>
      <c r="AA5" s="3800"/>
      <c r="AB5" s="3800"/>
      <c r="AC5" s="3800"/>
    </row>
    <row r="6" spans="1:29" ht="15.75" thickBot="1">
      <c r="A6" s="360"/>
      <c r="B6" s="361"/>
      <c r="C6" s="3812" t="s">
        <v>1661</v>
      </c>
      <c r="D6" s="3813"/>
      <c r="E6" s="3814" t="s">
        <v>1661</v>
      </c>
      <c r="F6" s="3815"/>
      <c r="G6" s="3812" t="s">
        <v>1661</v>
      </c>
      <c r="H6" s="3813"/>
      <c r="I6" s="3812" t="s">
        <v>1661</v>
      </c>
      <c r="J6" s="3813"/>
      <c r="K6" s="559" t="s">
        <v>1662</v>
      </c>
      <c r="L6" s="909"/>
      <c r="M6" s="910"/>
      <c r="N6" s="910"/>
      <c r="O6" s="910"/>
      <c r="P6" s="3857"/>
      <c r="Q6" s="3829"/>
      <c r="R6" s="3806"/>
      <c r="S6" s="3807"/>
      <c r="T6" s="3830"/>
      <c r="U6" s="3831"/>
      <c r="V6" s="3833"/>
      <c r="W6" s="3833"/>
      <c r="X6" s="1350"/>
      <c r="Y6" s="3830"/>
      <c r="Z6" s="3831"/>
      <c r="AA6" s="3801"/>
      <c r="AB6" s="3801"/>
      <c r="AC6" s="3801"/>
    </row>
    <row r="7" spans="1:29" s="108" customFormat="1" ht="15.75" thickBot="1">
      <c r="A7" s="362" t="s">
        <v>1663</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1"/>
      <c r="M7" s="912"/>
      <c r="N7" s="912"/>
      <c r="O7" s="912"/>
      <c r="P7" s="3802" t="s">
        <v>1664</v>
      </c>
      <c r="Q7" s="3836"/>
      <c r="R7" s="700" t="s">
        <v>14</v>
      </c>
      <c r="S7" s="701">
        <f t="shared" ref="S7:S15" si="0">F7</f>
        <v>0</v>
      </c>
      <c r="T7" s="700" t="s">
        <v>14</v>
      </c>
      <c r="U7" s="701">
        <f t="shared" ref="U7:U15" si="1">H7</f>
        <v>0</v>
      </c>
      <c r="V7" s="700" t="s">
        <v>14</v>
      </c>
      <c r="W7" s="701">
        <f t="shared" ref="W7:W15" si="2">J7</f>
        <v>0</v>
      </c>
      <c r="X7" s="702"/>
      <c r="Y7" s="3802" t="s">
        <v>1664</v>
      </c>
      <c r="Z7" s="3803"/>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02" t="s">
        <v>1667</v>
      </c>
      <c r="Q8" s="3803"/>
      <c r="R8" s="700" t="s">
        <v>14</v>
      </c>
      <c r="S8" s="701">
        <f t="shared" si="0"/>
        <v>100</v>
      </c>
      <c r="T8" s="700" t="s">
        <v>14</v>
      </c>
      <c r="U8" s="701">
        <f t="shared" si="1"/>
        <v>100</v>
      </c>
      <c r="V8" s="700" t="s">
        <v>14</v>
      </c>
      <c r="W8" s="701">
        <f t="shared" si="2"/>
        <v>100</v>
      </c>
      <c r="X8" s="702"/>
      <c r="Y8" s="3802" t="s">
        <v>1667</v>
      </c>
      <c r="Z8" s="3803"/>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46" t="s">
        <v>1670</v>
      </c>
      <c r="Q9" s="1338" t="str">
        <f t="shared" ref="Q9:Q15" si="6">B9</f>
        <v>用途</v>
      </c>
      <c r="R9" s="700" t="s">
        <v>14</v>
      </c>
      <c r="S9" s="701">
        <f t="shared" si="0"/>
        <v>100</v>
      </c>
      <c r="T9" s="700" t="s">
        <v>14</v>
      </c>
      <c r="U9" s="701">
        <f t="shared" si="1"/>
        <v>100</v>
      </c>
      <c r="V9" s="700" t="s">
        <v>14</v>
      </c>
      <c r="W9" s="701">
        <f t="shared" si="2"/>
        <v>100</v>
      </c>
      <c r="X9" s="702"/>
      <c r="Y9" s="3748"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46"/>
      <c r="Q10" s="1338" t="str">
        <f t="shared" si="6"/>
        <v>土地使用年限（年）</v>
      </c>
      <c r="R10" s="700" t="s">
        <v>14</v>
      </c>
      <c r="S10" s="701">
        <f t="shared" si="0"/>
        <v>100</v>
      </c>
      <c r="T10" s="700" t="s">
        <v>14</v>
      </c>
      <c r="U10" s="701">
        <f t="shared" si="1"/>
        <v>100</v>
      </c>
      <c r="V10" s="700" t="s">
        <v>14</v>
      </c>
      <c r="W10" s="701">
        <f t="shared" si="2"/>
        <v>100</v>
      </c>
      <c r="X10" s="702"/>
      <c r="Y10" s="3748"/>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46"/>
      <c r="Q11" s="1338" t="str">
        <f t="shared" si="6"/>
        <v>容积率</v>
      </c>
      <c r="R11" s="700" t="s">
        <v>14</v>
      </c>
      <c r="S11" s="701">
        <f t="shared" si="0"/>
        <v>100</v>
      </c>
      <c r="T11" s="700" t="s">
        <v>14</v>
      </c>
      <c r="U11" s="701">
        <f t="shared" si="1"/>
        <v>100</v>
      </c>
      <c r="V11" s="700" t="s">
        <v>14</v>
      </c>
      <c r="W11" s="701">
        <f t="shared" si="2"/>
        <v>100</v>
      </c>
      <c r="X11" s="702"/>
      <c r="Y11" s="3748"/>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46"/>
      <c r="Q12" s="1338">
        <f t="shared" si="6"/>
        <v>111</v>
      </c>
      <c r="R12" s="700" t="s">
        <v>14</v>
      </c>
      <c r="S12" s="701">
        <f t="shared" si="0"/>
        <v>100</v>
      </c>
      <c r="T12" s="700" t="s">
        <v>14</v>
      </c>
      <c r="U12" s="701">
        <f t="shared" si="1"/>
        <v>100</v>
      </c>
      <c r="V12" s="700" t="s">
        <v>14</v>
      </c>
      <c r="W12" s="701">
        <f t="shared" si="2"/>
        <v>100</v>
      </c>
      <c r="X12" s="702"/>
      <c r="Y12" s="3748"/>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46"/>
      <c r="Q13" s="1338">
        <f t="shared" si="6"/>
        <v>111</v>
      </c>
      <c r="R13" s="700" t="s">
        <v>14</v>
      </c>
      <c r="S13" s="701">
        <f t="shared" si="0"/>
        <v>100</v>
      </c>
      <c r="T13" s="700" t="s">
        <v>14</v>
      </c>
      <c r="U13" s="701">
        <f t="shared" si="1"/>
        <v>100</v>
      </c>
      <c r="V13" s="700" t="s">
        <v>14</v>
      </c>
      <c r="W13" s="701">
        <f t="shared" si="2"/>
        <v>100</v>
      </c>
      <c r="X13" s="702"/>
      <c r="Y13" s="3748"/>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46"/>
      <c r="Q14" s="1338">
        <f t="shared" si="6"/>
        <v>111</v>
      </c>
      <c r="R14" s="700" t="s">
        <v>14</v>
      </c>
      <c r="S14" s="701">
        <f t="shared" si="0"/>
        <v>100</v>
      </c>
      <c r="T14" s="700" t="s">
        <v>14</v>
      </c>
      <c r="U14" s="701">
        <f t="shared" si="1"/>
        <v>100</v>
      </c>
      <c r="V14" s="700" t="s">
        <v>14</v>
      </c>
      <c r="W14" s="701">
        <f t="shared" si="2"/>
        <v>100</v>
      </c>
      <c r="X14" s="702"/>
      <c r="Y14" s="3748"/>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39" t="s">
        <v>1675</v>
      </c>
      <c r="Q15" s="1347" t="str">
        <f t="shared" si="6"/>
        <v>产业集聚程度</v>
      </c>
      <c r="R15" s="704" t="s">
        <v>14</v>
      </c>
      <c r="S15" s="705">
        <f t="shared" si="0"/>
        <v>100</v>
      </c>
      <c r="T15" s="704" t="s">
        <v>14</v>
      </c>
      <c r="U15" s="705">
        <f t="shared" si="1"/>
        <v>100</v>
      </c>
      <c r="V15" s="704" t="s">
        <v>14</v>
      </c>
      <c r="W15" s="705">
        <f t="shared" si="2"/>
        <v>100</v>
      </c>
      <c r="X15" s="1350"/>
      <c r="Y15" s="3839"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40"/>
      <c r="Q16" s="1347"/>
      <c r="R16" s="704"/>
      <c r="S16" s="705"/>
      <c r="T16" s="704"/>
      <c r="U16" s="705"/>
      <c r="V16" s="704"/>
      <c r="W16" s="705"/>
      <c r="X16" s="1350"/>
      <c r="Y16" s="3840"/>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40"/>
      <c r="Q17" s="1347" t="str">
        <f>B17</f>
        <v>交通便捷度</v>
      </c>
      <c r="R17" s="704" t="s">
        <v>14</v>
      </c>
      <c r="S17" s="705">
        <f>F17</f>
        <v>100</v>
      </c>
      <c r="T17" s="704" t="s">
        <v>14</v>
      </c>
      <c r="U17" s="705">
        <f>H17</f>
        <v>100</v>
      </c>
      <c r="V17" s="704" t="s">
        <v>14</v>
      </c>
      <c r="W17" s="705">
        <f>J17</f>
        <v>100</v>
      </c>
      <c r="X17" s="1350"/>
      <c r="Y17" s="384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40"/>
      <c r="Q18" s="1347"/>
      <c r="R18" s="704"/>
      <c r="S18" s="705"/>
      <c r="T18" s="704"/>
      <c r="U18" s="705"/>
      <c r="V18" s="704"/>
      <c r="W18" s="705"/>
      <c r="X18" s="1350"/>
      <c r="Y18" s="3840"/>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40"/>
      <c r="Q19" s="1347" t="str">
        <f>B19</f>
        <v>公共配套设施</v>
      </c>
      <c r="R19" s="704" t="s">
        <v>14</v>
      </c>
      <c r="S19" s="705">
        <f>F19</f>
        <v>100</v>
      </c>
      <c r="T19" s="704" t="s">
        <v>14</v>
      </c>
      <c r="U19" s="705">
        <f>H19</f>
        <v>100</v>
      </c>
      <c r="V19" s="704" t="s">
        <v>14</v>
      </c>
      <c r="W19" s="705">
        <f>J19</f>
        <v>100</v>
      </c>
      <c r="X19" s="1350"/>
      <c r="Y19" s="384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40"/>
      <c r="Q20" s="1347"/>
      <c r="R20" s="704"/>
      <c r="S20" s="705"/>
      <c r="T20" s="704"/>
      <c r="U20" s="705"/>
      <c r="V20" s="704"/>
      <c r="W20" s="705"/>
      <c r="X20" s="1350"/>
      <c r="Y20" s="3840"/>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40"/>
      <c r="Q21" s="1347" t="str">
        <f>B21</f>
        <v>基础设施水平</v>
      </c>
      <c r="R21" s="704" t="s">
        <v>14</v>
      </c>
      <c r="S21" s="705">
        <f>F21</f>
        <v>100</v>
      </c>
      <c r="T21" s="704" t="s">
        <v>14</v>
      </c>
      <c r="U21" s="705">
        <f>H21</f>
        <v>100</v>
      </c>
      <c r="V21" s="704" t="s">
        <v>14</v>
      </c>
      <c r="W21" s="705">
        <f>J21</f>
        <v>100</v>
      </c>
      <c r="X21" s="1350"/>
      <c r="Y21" s="384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40"/>
      <c r="Q22" s="1347"/>
      <c r="R22" s="704"/>
      <c r="S22" s="705"/>
      <c r="T22" s="704"/>
      <c r="U22" s="705"/>
      <c r="V22" s="704"/>
      <c r="W22" s="705"/>
      <c r="X22" s="1350"/>
      <c r="Y22" s="3840"/>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40"/>
      <c r="Q23" s="1347" t="str">
        <f>B23</f>
        <v>环境质量</v>
      </c>
      <c r="R23" s="704" t="s">
        <v>14</v>
      </c>
      <c r="S23" s="705">
        <f>F23</f>
        <v>100</v>
      </c>
      <c r="T23" s="704" t="s">
        <v>14</v>
      </c>
      <c r="U23" s="705">
        <f>H23</f>
        <v>100</v>
      </c>
      <c r="V23" s="704" t="s">
        <v>14</v>
      </c>
      <c r="W23" s="705">
        <f>J23</f>
        <v>100</v>
      </c>
      <c r="X23" s="1350"/>
      <c r="Y23" s="3840"/>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40"/>
      <c r="Q24" s="1347"/>
      <c r="R24" s="704"/>
      <c r="S24" s="705"/>
      <c r="T24" s="704"/>
      <c r="U24" s="705"/>
      <c r="V24" s="704"/>
      <c r="W24" s="705"/>
      <c r="X24" s="1350"/>
      <c r="Y24" s="3840"/>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40"/>
      <c r="Q25" s="1347">
        <f>B25</f>
        <v>111</v>
      </c>
      <c r="R25" s="704" t="s">
        <v>14</v>
      </c>
      <c r="S25" s="705">
        <f>F25</f>
        <v>100</v>
      </c>
      <c r="T25" s="704" t="s">
        <v>14</v>
      </c>
      <c r="U25" s="705">
        <f>H25</f>
        <v>100</v>
      </c>
      <c r="V25" s="704" t="s">
        <v>14</v>
      </c>
      <c r="W25" s="705">
        <f>J25</f>
        <v>100</v>
      </c>
      <c r="X25" s="1350"/>
      <c r="Y25" s="3840"/>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40"/>
      <c r="Q26" s="1347">
        <f t="shared" ref="Q26:Q40" si="11">B26</f>
        <v>111</v>
      </c>
      <c r="R26" s="704" t="s">
        <v>14</v>
      </c>
      <c r="S26" s="705">
        <f>F26</f>
        <v>100</v>
      </c>
      <c r="T26" s="704" t="s">
        <v>14</v>
      </c>
      <c r="U26" s="705">
        <f>H26</f>
        <v>100</v>
      </c>
      <c r="V26" s="704" t="s">
        <v>14</v>
      </c>
      <c r="W26" s="705">
        <f>J26</f>
        <v>100</v>
      </c>
      <c r="X26" s="1350"/>
      <c r="Y26" s="3840"/>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40"/>
      <c r="Q27" s="1338">
        <f t="shared" si="11"/>
        <v>111</v>
      </c>
      <c r="R27" s="700" t="s">
        <v>14</v>
      </c>
      <c r="S27" s="701">
        <f>F27</f>
        <v>100</v>
      </c>
      <c r="T27" s="700" t="s">
        <v>14</v>
      </c>
      <c r="U27" s="701">
        <f>H27</f>
        <v>100</v>
      </c>
      <c r="V27" s="700" t="s">
        <v>14</v>
      </c>
      <c r="W27" s="701">
        <f>J27</f>
        <v>100</v>
      </c>
      <c r="X27" s="702"/>
      <c r="Y27" s="3840"/>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40"/>
      <c r="Q28" s="1347">
        <f t="shared" si="11"/>
        <v>111</v>
      </c>
      <c r="R28" s="704" t="s">
        <v>14</v>
      </c>
      <c r="S28" s="705">
        <f t="shared" ref="S28:S40" si="12">F28</f>
        <v>100</v>
      </c>
      <c r="T28" s="704" t="s">
        <v>14</v>
      </c>
      <c r="U28" s="705">
        <f t="shared" ref="U28:U40" si="13">H28</f>
        <v>100</v>
      </c>
      <c r="V28" s="704" t="s">
        <v>14</v>
      </c>
      <c r="W28" s="705">
        <f t="shared" ref="W28:W40" si="14">J28</f>
        <v>100</v>
      </c>
      <c r="X28" s="1350"/>
      <c r="Y28" s="3840"/>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61" t="s">
        <v>1680</v>
      </c>
      <c r="Q29" s="1347" t="str">
        <f t="shared" si="11"/>
        <v>建筑类型</v>
      </c>
      <c r="R29" s="704" t="s">
        <v>14</v>
      </c>
      <c r="S29" s="705">
        <f t="shared" si="12"/>
        <v>100</v>
      </c>
      <c r="T29" s="704" t="s">
        <v>14</v>
      </c>
      <c r="U29" s="705">
        <f t="shared" si="13"/>
        <v>100</v>
      </c>
      <c r="V29" s="704" t="s">
        <v>14</v>
      </c>
      <c r="W29" s="705">
        <f t="shared" si="14"/>
        <v>100</v>
      </c>
      <c r="X29" s="1350"/>
      <c r="Y29" s="3844"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44"/>
      <c r="Q30" s="706" t="str">
        <f t="shared" si="11"/>
        <v>项目建筑规模</v>
      </c>
      <c r="R30" s="707" t="s">
        <v>14</v>
      </c>
      <c r="S30" s="708" t="e">
        <f t="shared" si="12"/>
        <v>#N/A</v>
      </c>
      <c r="T30" s="707" t="s">
        <v>14</v>
      </c>
      <c r="U30" s="708" t="e">
        <f t="shared" si="13"/>
        <v>#N/A</v>
      </c>
      <c r="V30" s="707" t="s">
        <v>14</v>
      </c>
      <c r="W30" s="708" t="e">
        <f t="shared" si="14"/>
        <v>#N/A</v>
      </c>
      <c r="X30" s="709"/>
      <c r="Y30" s="3844"/>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44"/>
      <c r="Q31" s="1347" t="str">
        <f t="shared" si="11"/>
        <v>建筑结构</v>
      </c>
      <c r="R31" s="704" t="s">
        <v>14</v>
      </c>
      <c r="S31" s="705">
        <f t="shared" si="12"/>
        <v>100</v>
      </c>
      <c r="T31" s="704" t="s">
        <v>14</v>
      </c>
      <c r="U31" s="705">
        <f t="shared" si="13"/>
        <v>100</v>
      </c>
      <c r="V31" s="704" t="s">
        <v>14</v>
      </c>
      <c r="W31" s="705">
        <f t="shared" si="14"/>
        <v>100</v>
      </c>
      <c r="X31" s="1350"/>
      <c r="Y31" s="3844"/>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44"/>
      <c r="Q32" s="1347" t="str">
        <f t="shared" si="11"/>
        <v>公共部分装修</v>
      </c>
      <c r="R32" s="704" t="s">
        <v>14</v>
      </c>
      <c r="S32" s="705">
        <f t="shared" si="12"/>
        <v>100</v>
      </c>
      <c r="T32" s="704" t="s">
        <v>14</v>
      </c>
      <c r="U32" s="705">
        <f t="shared" si="13"/>
        <v>100</v>
      </c>
      <c r="V32" s="704" t="s">
        <v>14</v>
      </c>
      <c r="W32" s="705">
        <f t="shared" si="14"/>
        <v>100</v>
      </c>
      <c r="X32" s="1350"/>
      <c r="Y32" s="3844"/>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44"/>
      <c r="Q33" s="1347" t="str">
        <f t="shared" si="11"/>
        <v>成新度</v>
      </c>
      <c r="R33" s="704" t="s">
        <v>14</v>
      </c>
      <c r="S33" s="705" t="e">
        <f t="shared" si="12"/>
        <v>#N/A</v>
      </c>
      <c r="T33" s="704" t="s">
        <v>14</v>
      </c>
      <c r="U33" s="705" t="e">
        <f t="shared" si="13"/>
        <v>#N/A</v>
      </c>
      <c r="V33" s="704" t="s">
        <v>14</v>
      </c>
      <c r="W33" s="705" t="e">
        <f t="shared" si="14"/>
        <v>#N/A</v>
      </c>
      <c r="X33" s="1350"/>
      <c r="Y33" s="3844"/>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44"/>
      <c r="Q34" s="1338" t="str">
        <f t="shared" si="11"/>
        <v>物业管理</v>
      </c>
      <c r="R34" s="700" t="s">
        <v>14</v>
      </c>
      <c r="S34" s="701">
        <f t="shared" si="12"/>
        <v>100</v>
      </c>
      <c r="T34" s="700" t="s">
        <v>14</v>
      </c>
      <c r="U34" s="701">
        <f t="shared" si="13"/>
        <v>100</v>
      </c>
      <c r="V34" s="700" t="s">
        <v>14</v>
      </c>
      <c r="W34" s="701">
        <f t="shared" si="14"/>
        <v>100</v>
      </c>
      <c r="X34" s="702"/>
      <c r="Y34" s="3844"/>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44" t="s">
        <v>1680</v>
      </c>
      <c r="Q35" s="1347" t="str">
        <f t="shared" si="11"/>
        <v>市政基础设施</v>
      </c>
      <c r="R35" s="704" t="s">
        <v>14</v>
      </c>
      <c r="S35" s="705">
        <f t="shared" si="12"/>
        <v>100</v>
      </c>
      <c r="T35" s="704" t="s">
        <v>14</v>
      </c>
      <c r="U35" s="705">
        <f t="shared" si="13"/>
        <v>100</v>
      </c>
      <c r="V35" s="704" t="s">
        <v>14</v>
      </c>
      <c r="W35" s="705">
        <f t="shared" si="14"/>
        <v>100</v>
      </c>
      <c r="X35" s="1350"/>
      <c r="Y35" s="3844"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44"/>
      <c r="Q36" s="1347" t="str">
        <f t="shared" si="11"/>
        <v>内部装修</v>
      </c>
      <c r="R36" s="704" t="s">
        <v>14</v>
      </c>
      <c r="S36" s="705">
        <f t="shared" si="12"/>
        <v>100</v>
      </c>
      <c r="T36" s="704" t="s">
        <v>14</v>
      </c>
      <c r="U36" s="705">
        <f t="shared" si="13"/>
        <v>100</v>
      </c>
      <c r="V36" s="704" t="s">
        <v>14</v>
      </c>
      <c r="W36" s="705">
        <f t="shared" si="14"/>
        <v>100</v>
      </c>
      <c r="X36" s="1350"/>
      <c r="Y36" s="3844"/>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44"/>
      <c r="Q37" s="1347" t="str">
        <f t="shared" si="11"/>
        <v>内部装修状况</v>
      </c>
      <c r="R37" s="704" t="s">
        <v>14</v>
      </c>
      <c r="S37" s="705">
        <f t="shared" si="12"/>
        <v>100</v>
      </c>
      <c r="T37" s="704" t="s">
        <v>14</v>
      </c>
      <c r="U37" s="705">
        <f t="shared" si="13"/>
        <v>100</v>
      </c>
      <c r="V37" s="704" t="s">
        <v>14</v>
      </c>
      <c r="W37" s="705">
        <f t="shared" si="14"/>
        <v>100</v>
      </c>
      <c r="X37" s="1350"/>
      <c r="Y37" s="3844"/>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44"/>
      <c r="Q38" s="706">
        <f t="shared" si="11"/>
        <v>111</v>
      </c>
      <c r="R38" s="707" t="s">
        <v>14</v>
      </c>
      <c r="S38" s="708">
        <f t="shared" si="12"/>
        <v>100</v>
      </c>
      <c r="T38" s="707" t="s">
        <v>14</v>
      </c>
      <c r="U38" s="708">
        <f t="shared" si="13"/>
        <v>100</v>
      </c>
      <c r="V38" s="707" t="s">
        <v>14</v>
      </c>
      <c r="W38" s="708">
        <f t="shared" si="14"/>
        <v>100</v>
      </c>
      <c r="X38" s="709"/>
      <c r="Y38" s="3844"/>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44"/>
      <c r="Q39" s="1347">
        <f t="shared" si="11"/>
        <v>111</v>
      </c>
      <c r="R39" s="704" t="s">
        <v>14</v>
      </c>
      <c r="S39" s="705">
        <f t="shared" si="12"/>
        <v>100</v>
      </c>
      <c r="T39" s="704" t="s">
        <v>14</v>
      </c>
      <c r="U39" s="705">
        <f t="shared" si="13"/>
        <v>100</v>
      </c>
      <c r="V39" s="704" t="s">
        <v>14</v>
      </c>
      <c r="W39" s="705">
        <f t="shared" si="14"/>
        <v>100</v>
      </c>
      <c r="X39" s="1350"/>
      <c r="Y39" s="3844"/>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45"/>
      <c r="Q40" s="1347">
        <f t="shared" si="11"/>
        <v>111</v>
      </c>
      <c r="R40" s="704" t="s">
        <v>14</v>
      </c>
      <c r="S40" s="705">
        <f t="shared" si="12"/>
        <v>100</v>
      </c>
      <c r="T40" s="704" t="s">
        <v>14</v>
      </c>
      <c r="U40" s="705">
        <f t="shared" si="13"/>
        <v>100</v>
      </c>
      <c r="V40" s="704" t="s">
        <v>14</v>
      </c>
      <c r="W40" s="705">
        <f t="shared" si="14"/>
        <v>100</v>
      </c>
      <c r="X40" s="1350"/>
      <c r="Y40" s="3845"/>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46" t="str">
        <f>A41</f>
        <v>成交单价（元/平方米）</v>
      </c>
      <c r="Q41" s="3846"/>
      <c r="R41" s="3847">
        <f>E41</f>
        <v>0</v>
      </c>
      <c r="S41" s="3847"/>
      <c r="T41" s="3847">
        <f>G41</f>
        <v>0</v>
      </c>
      <c r="U41" s="3847"/>
      <c r="V41" s="3847">
        <f>I41</f>
        <v>0</v>
      </c>
      <c r="W41" s="3847"/>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46" t="str">
        <f>A42</f>
        <v>比较价值（元/平方米）</v>
      </c>
      <c r="Q42" s="3846"/>
      <c r="R42" s="3847" t="e">
        <f>IF(F1="售价",ROUND(PRODUCT(R41,AA7:AA40),0),ROUND(PRODUCT(R41,AA7:AA40),1))</f>
        <v>#DIV/0!</v>
      </c>
      <c r="S42" s="3847"/>
      <c r="T42" s="3847" t="e">
        <f>IF(F1="售价",ROUND(PRODUCT(T41,AB7:AB40),0),ROUND(PRODUCT(T41,AB7:AB40),1))</f>
        <v>#DIV/0!</v>
      </c>
      <c r="U42" s="3847"/>
      <c r="V42" s="3847" t="e">
        <f>IF(F1="售价",ROUND(PRODUCT(V41,AC7:AC40),0),ROUND(PRODUCT(V41,AC7:AC40),1))</f>
        <v>#DIV/0!</v>
      </c>
      <c r="W42" s="3847"/>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58" t="str">
        <f>A43</f>
        <v>估价对象XX用房的比较价值（楼面单价，元/平方米）</v>
      </c>
      <c r="Q43" s="3859"/>
      <c r="R43" s="3860" t="e">
        <f>IF(F1="售价",ROUND(IF(D42="简单平均",AVERAGE(R42:V42),R42*F42+T42*H42+V42*J42),0),ROUND(IF(D42="简单平均",AVERAGE(R42:V42),R42*F42+T42*H42+V42*J42),1))</f>
        <v>#DIV/0!</v>
      </c>
      <c r="S43" s="3860"/>
      <c r="T43" s="3860"/>
      <c r="U43" s="3860"/>
      <c r="V43" s="3860"/>
      <c r="W43" s="3860"/>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20" t="s">
        <v>1754</v>
      </c>
      <c r="D4" s="3821"/>
      <c r="E4" s="3822" t="s">
        <v>1755</v>
      </c>
      <c r="F4" s="3823"/>
      <c r="G4" s="3820" t="s">
        <v>1756</v>
      </c>
      <c r="H4" s="3821"/>
      <c r="I4" s="3820" t="s">
        <v>1757</v>
      </c>
      <c r="J4" s="3821"/>
      <c r="K4" s="559" t="s">
        <v>1758</v>
      </c>
      <c r="L4" s="2686"/>
      <c r="M4" s="2687"/>
      <c r="N4" s="2687"/>
      <c r="O4" s="2687"/>
      <c r="P4" s="3854" t="s">
        <v>1759</v>
      </c>
      <c r="Q4" s="3855"/>
      <c r="R4" s="3852" t="s">
        <v>1755</v>
      </c>
      <c r="S4" s="3853"/>
      <c r="T4" s="3852" t="s">
        <v>1756</v>
      </c>
      <c r="U4" s="3853"/>
      <c r="V4" s="3833" t="s">
        <v>1757</v>
      </c>
      <c r="W4" s="3833"/>
      <c r="X4" s="1350"/>
      <c r="Y4" s="3852" t="s">
        <v>1759</v>
      </c>
      <c r="Z4" s="3853"/>
      <c r="AA4" s="3851" t="s">
        <v>1755</v>
      </c>
      <c r="AB4" s="3800" t="s">
        <v>1756</v>
      </c>
      <c r="AC4" s="3851" t="s">
        <v>1757</v>
      </c>
    </row>
    <row r="5" spans="1:29" ht="15">
      <c r="A5" s="358"/>
      <c r="B5" s="359"/>
      <c r="C5" s="3810" t="s">
        <v>1657</v>
      </c>
      <c r="D5" s="3811"/>
      <c r="E5" s="3808" t="s">
        <v>1658</v>
      </c>
      <c r="F5" s="3809"/>
      <c r="G5" s="3810" t="s">
        <v>1659</v>
      </c>
      <c r="H5" s="3811"/>
      <c r="I5" s="3810" t="s">
        <v>1660</v>
      </c>
      <c r="J5" s="3811"/>
      <c r="K5" s="559"/>
      <c r="L5" s="2686"/>
      <c r="M5" s="2687"/>
      <c r="N5" s="2687"/>
      <c r="O5" s="2687"/>
      <c r="P5" s="3856"/>
      <c r="Q5" s="3827"/>
      <c r="R5" s="3806"/>
      <c r="S5" s="3807"/>
      <c r="T5" s="3806"/>
      <c r="U5" s="3807"/>
      <c r="V5" s="3833"/>
      <c r="W5" s="3833"/>
      <c r="X5" s="1350"/>
      <c r="Y5" s="3806"/>
      <c r="Z5" s="3807"/>
      <c r="AA5" s="3800"/>
      <c r="AB5" s="3800"/>
      <c r="AC5" s="3800"/>
    </row>
    <row r="6" spans="1:29" ht="15.75" thickBot="1">
      <c r="A6" s="360"/>
      <c r="B6" s="361"/>
      <c r="C6" s="3812" t="s">
        <v>1661</v>
      </c>
      <c r="D6" s="3813"/>
      <c r="E6" s="3814" t="s">
        <v>1661</v>
      </c>
      <c r="F6" s="3815"/>
      <c r="G6" s="3812" t="s">
        <v>1661</v>
      </c>
      <c r="H6" s="3813"/>
      <c r="I6" s="3812" t="s">
        <v>1661</v>
      </c>
      <c r="J6" s="3813"/>
      <c r="K6" s="559" t="s">
        <v>1662</v>
      </c>
      <c r="L6" s="2686"/>
      <c r="M6" s="2687"/>
      <c r="N6" s="2687"/>
      <c r="O6" s="2687"/>
      <c r="P6" s="3857"/>
      <c r="Q6" s="3829"/>
      <c r="R6" s="3806"/>
      <c r="S6" s="3807"/>
      <c r="T6" s="3830"/>
      <c r="U6" s="3831"/>
      <c r="V6" s="3833"/>
      <c r="W6" s="3833"/>
      <c r="X6" s="1350"/>
      <c r="Y6" s="3830"/>
      <c r="Z6" s="3831"/>
      <c r="AA6" s="3801"/>
      <c r="AB6" s="3801"/>
      <c r="AC6" s="3801"/>
    </row>
    <row r="7" spans="1:29" s="108" customFormat="1" ht="15.75" thickBot="1">
      <c r="A7" s="362" t="s">
        <v>1663</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02" t="s">
        <v>1664</v>
      </c>
      <c r="Q7" s="3836"/>
      <c r="R7" s="700" t="s">
        <v>14</v>
      </c>
      <c r="S7" s="701">
        <f t="shared" ref="S7:S14" si="0">F7</f>
        <v>0</v>
      </c>
      <c r="T7" s="700" t="s">
        <v>14</v>
      </c>
      <c r="U7" s="701">
        <f t="shared" ref="U7:U14" si="1">H7</f>
        <v>0</v>
      </c>
      <c r="V7" s="700" t="s">
        <v>14</v>
      </c>
      <c r="W7" s="701">
        <f t="shared" ref="W7:W14" si="2">J7</f>
        <v>0</v>
      </c>
      <c r="X7" s="702"/>
      <c r="Y7" s="3802" t="s">
        <v>1664</v>
      </c>
      <c r="Z7" s="3803"/>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02" t="s">
        <v>1667</v>
      </c>
      <c r="Q8" s="3803"/>
      <c r="R8" s="700" t="s">
        <v>14</v>
      </c>
      <c r="S8" s="701">
        <f t="shared" si="0"/>
        <v>100</v>
      </c>
      <c r="T8" s="700" t="s">
        <v>14</v>
      </c>
      <c r="U8" s="701">
        <f t="shared" si="1"/>
        <v>100</v>
      </c>
      <c r="V8" s="700" t="s">
        <v>14</v>
      </c>
      <c r="W8" s="701">
        <f t="shared" si="2"/>
        <v>100</v>
      </c>
      <c r="X8" s="702"/>
      <c r="Y8" s="3802" t="s">
        <v>1667</v>
      </c>
      <c r="Z8" s="3803"/>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46" t="s">
        <v>1670</v>
      </c>
      <c r="Q9" s="1338" t="str">
        <f t="shared" ref="Q9:Q14" si="6">B9</f>
        <v>用途</v>
      </c>
      <c r="R9" s="700" t="s">
        <v>14</v>
      </c>
      <c r="S9" s="701">
        <f t="shared" si="0"/>
        <v>100</v>
      </c>
      <c r="T9" s="700" t="s">
        <v>14</v>
      </c>
      <c r="U9" s="701">
        <f t="shared" si="1"/>
        <v>100</v>
      </c>
      <c r="V9" s="700" t="s">
        <v>14</v>
      </c>
      <c r="W9" s="701">
        <f t="shared" si="2"/>
        <v>100</v>
      </c>
      <c r="X9" s="702"/>
      <c r="Y9" s="3748"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46"/>
      <c r="Q10" s="1338" t="str">
        <f t="shared" si="6"/>
        <v>土地使用年限（年）</v>
      </c>
      <c r="R10" s="700" t="s">
        <v>14</v>
      </c>
      <c r="S10" s="701">
        <f t="shared" si="0"/>
        <v>100</v>
      </c>
      <c r="T10" s="700" t="s">
        <v>14</v>
      </c>
      <c r="U10" s="701">
        <f t="shared" si="1"/>
        <v>100</v>
      </c>
      <c r="V10" s="700" t="s">
        <v>14</v>
      </c>
      <c r="W10" s="701">
        <f t="shared" si="2"/>
        <v>100</v>
      </c>
      <c r="X10" s="702"/>
      <c r="Y10" s="374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46"/>
      <c r="Q11" s="1338">
        <f t="shared" si="6"/>
        <v>111</v>
      </c>
      <c r="R11" s="700" t="s">
        <v>14</v>
      </c>
      <c r="S11" s="701">
        <f t="shared" si="0"/>
        <v>100</v>
      </c>
      <c r="T11" s="700" t="s">
        <v>14</v>
      </c>
      <c r="U11" s="701">
        <f t="shared" si="1"/>
        <v>100</v>
      </c>
      <c r="V11" s="700" t="s">
        <v>14</v>
      </c>
      <c r="W11" s="701">
        <f t="shared" si="2"/>
        <v>100</v>
      </c>
      <c r="X11" s="702"/>
      <c r="Y11" s="374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46"/>
      <c r="Q12" s="1338">
        <f t="shared" si="6"/>
        <v>111</v>
      </c>
      <c r="R12" s="700" t="s">
        <v>14</v>
      </c>
      <c r="S12" s="701">
        <f t="shared" si="0"/>
        <v>100</v>
      </c>
      <c r="T12" s="700" t="s">
        <v>14</v>
      </c>
      <c r="U12" s="701">
        <f t="shared" si="1"/>
        <v>100</v>
      </c>
      <c r="V12" s="700" t="s">
        <v>14</v>
      </c>
      <c r="W12" s="701">
        <f t="shared" si="2"/>
        <v>100</v>
      </c>
      <c r="X12" s="702"/>
      <c r="Y12" s="374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46"/>
      <c r="Q13" s="1338">
        <f t="shared" si="6"/>
        <v>111</v>
      </c>
      <c r="R13" s="700" t="s">
        <v>14</v>
      </c>
      <c r="S13" s="701">
        <f t="shared" si="0"/>
        <v>100</v>
      </c>
      <c r="T13" s="700" t="s">
        <v>14</v>
      </c>
      <c r="U13" s="701">
        <f t="shared" si="1"/>
        <v>100</v>
      </c>
      <c r="V13" s="700" t="s">
        <v>14</v>
      </c>
      <c r="W13" s="701">
        <f t="shared" si="2"/>
        <v>100</v>
      </c>
      <c r="X13" s="702"/>
      <c r="Y13" s="3748"/>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39" t="s">
        <v>1675</v>
      </c>
      <c r="Q14" s="1347" t="str">
        <f t="shared" si="6"/>
        <v>交通便捷度</v>
      </c>
      <c r="R14" s="704" t="s">
        <v>14</v>
      </c>
      <c r="S14" s="705">
        <f t="shared" si="0"/>
        <v>100</v>
      </c>
      <c r="T14" s="704" t="s">
        <v>14</v>
      </c>
      <c r="U14" s="705">
        <f t="shared" si="1"/>
        <v>100</v>
      </c>
      <c r="V14" s="704" t="s">
        <v>14</v>
      </c>
      <c r="W14" s="705">
        <f t="shared" si="2"/>
        <v>100</v>
      </c>
      <c r="X14" s="1350"/>
      <c r="Y14" s="3839"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40"/>
      <c r="Q15" s="1347"/>
      <c r="R15" s="704"/>
      <c r="S15" s="705"/>
      <c r="T15" s="704"/>
      <c r="U15" s="705"/>
      <c r="V15" s="704"/>
      <c r="W15" s="705"/>
      <c r="X15" s="1350"/>
      <c r="Y15" s="3840"/>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40"/>
      <c r="Q16" s="1347" t="str">
        <f>B16</f>
        <v>公共配套设施</v>
      </c>
      <c r="R16" s="704" t="s">
        <v>14</v>
      </c>
      <c r="S16" s="705">
        <f>F16</f>
        <v>100</v>
      </c>
      <c r="T16" s="704" t="s">
        <v>14</v>
      </c>
      <c r="U16" s="705">
        <f>H16</f>
        <v>100</v>
      </c>
      <c r="V16" s="704" t="s">
        <v>14</v>
      </c>
      <c r="W16" s="705">
        <f>J16</f>
        <v>100</v>
      </c>
      <c r="X16" s="1350"/>
      <c r="Y16" s="3840"/>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40"/>
      <c r="Q17" s="1347"/>
      <c r="R17" s="704"/>
      <c r="S17" s="705"/>
      <c r="T17" s="704"/>
      <c r="U17" s="705"/>
      <c r="V17" s="704"/>
      <c r="W17" s="705"/>
      <c r="X17" s="1350"/>
      <c r="Y17" s="3840"/>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40"/>
      <c r="Q18" s="1347" t="str">
        <f>B18</f>
        <v>基础设施水平</v>
      </c>
      <c r="R18" s="704" t="s">
        <v>14</v>
      </c>
      <c r="S18" s="705">
        <f>F18</f>
        <v>100</v>
      </c>
      <c r="T18" s="704" t="s">
        <v>14</v>
      </c>
      <c r="U18" s="705">
        <f>H18</f>
        <v>100</v>
      </c>
      <c r="V18" s="704" t="s">
        <v>14</v>
      </c>
      <c r="W18" s="705">
        <f>J18</f>
        <v>100</v>
      </c>
      <c r="X18" s="1350"/>
      <c r="Y18" s="3840"/>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40"/>
      <c r="Q19" s="1347"/>
      <c r="R19" s="704"/>
      <c r="S19" s="705"/>
      <c r="T19" s="704"/>
      <c r="U19" s="705"/>
      <c r="V19" s="704"/>
      <c r="W19" s="705"/>
      <c r="X19" s="1350"/>
      <c r="Y19" s="3840"/>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40"/>
      <c r="Q20" s="1347" t="str">
        <f>B20</f>
        <v>自然及人文环境</v>
      </c>
      <c r="R20" s="704" t="s">
        <v>14</v>
      </c>
      <c r="S20" s="705">
        <f>F20</f>
        <v>100</v>
      </c>
      <c r="T20" s="704" t="s">
        <v>14</v>
      </c>
      <c r="U20" s="705">
        <f>H20</f>
        <v>100</v>
      </c>
      <c r="V20" s="704" t="s">
        <v>14</v>
      </c>
      <c r="W20" s="705">
        <f>J20</f>
        <v>100</v>
      </c>
      <c r="X20" s="1350"/>
      <c r="Y20" s="3840"/>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40"/>
      <c r="Q21" s="1347"/>
      <c r="R21" s="704"/>
      <c r="S21" s="705"/>
      <c r="T21" s="704"/>
      <c r="U21" s="705"/>
      <c r="V21" s="704"/>
      <c r="W21" s="705"/>
      <c r="X21" s="1350"/>
      <c r="Y21" s="3840"/>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40"/>
      <c r="Q22" s="1347" t="str">
        <f>B22</f>
        <v>楼层</v>
      </c>
      <c r="R22" s="704" t="s">
        <v>14</v>
      </c>
      <c r="S22" s="705">
        <f>F22</f>
        <v>100</v>
      </c>
      <c r="T22" s="704" t="s">
        <v>14</v>
      </c>
      <c r="U22" s="705">
        <f>H22</f>
        <v>100</v>
      </c>
      <c r="V22" s="704" t="s">
        <v>14</v>
      </c>
      <c r="W22" s="705">
        <f>J22</f>
        <v>100</v>
      </c>
      <c r="X22" s="1350"/>
      <c r="Y22" s="3840"/>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40"/>
      <c r="Q23" s="1347">
        <f>B23</f>
        <v>111</v>
      </c>
      <c r="R23" s="704" t="s">
        <v>14</v>
      </c>
      <c r="S23" s="705">
        <f>F23</f>
        <v>100</v>
      </c>
      <c r="T23" s="704" t="s">
        <v>14</v>
      </c>
      <c r="U23" s="705">
        <f>H23</f>
        <v>100</v>
      </c>
      <c r="V23" s="704" t="s">
        <v>14</v>
      </c>
      <c r="W23" s="705">
        <f>J23</f>
        <v>100</v>
      </c>
      <c r="X23" s="1350"/>
      <c r="Y23" s="3840"/>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40"/>
      <c r="Q24" s="1347">
        <f t="shared" ref="Q24:Q36" si="11">B24</f>
        <v>111</v>
      </c>
      <c r="R24" s="704" t="s">
        <v>14</v>
      </c>
      <c r="S24" s="705">
        <f>F24</f>
        <v>100</v>
      </c>
      <c r="T24" s="704" t="s">
        <v>14</v>
      </c>
      <c r="U24" s="705">
        <f>H24</f>
        <v>100</v>
      </c>
      <c r="V24" s="704" t="s">
        <v>14</v>
      </c>
      <c r="W24" s="705">
        <f>J24</f>
        <v>100</v>
      </c>
      <c r="X24" s="1350"/>
      <c r="Y24" s="3840"/>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40"/>
      <c r="Q25" s="1338">
        <f t="shared" si="11"/>
        <v>111</v>
      </c>
      <c r="R25" s="700" t="s">
        <v>14</v>
      </c>
      <c r="S25" s="701">
        <f>F25</f>
        <v>100</v>
      </c>
      <c r="T25" s="700" t="s">
        <v>14</v>
      </c>
      <c r="U25" s="701">
        <f>H25</f>
        <v>100</v>
      </c>
      <c r="V25" s="700" t="s">
        <v>14</v>
      </c>
      <c r="W25" s="701">
        <f>J25</f>
        <v>100</v>
      </c>
      <c r="X25" s="702"/>
      <c r="Y25" s="3840"/>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61"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44"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44"/>
      <c r="Q27" s="706" t="str">
        <f t="shared" si="11"/>
        <v>项目停车位配比</v>
      </c>
      <c r="R27" s="707" t="s">
        <v>14</v>
      </c>
      <c r="S27" s="708">
        <f t="shared" si="12"/>
        <v>100</v>
      </c>
      <c r="T27" s="707" t="s">
        <v>14</v>
      </c>
      <c r="U27" s="708">
        <f t="shared" si="13"/>
        <v>100</v>
      </c>
      <c r="V27" s="707" t="s">
        <v>14</v>
      </c>
      <c r="W27" s="708">
        <f t="shared" si="14"/>
        <v>100</v>
      </c>
      <c r="X27" s="709"/>
      <c r="Y27" s="3844"/>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44"/>
      <c r="Q28" s="1347" t="str">
        <f t="shared" si="11"/>
        <v>公共部分装修</v>
      </c>
      <c r="R28" s="704" t="s">
        <v>14</v>
      </c>
      <c r="S28" s="705">
        <f t="shared" si="12"/>
        <v>100</v>
      </c>
      <c r="T28" s="704" t="s">
        <v>14</v>
      </c>
      <c r="U28" s="705">
        <f t="shared" si="13"/>
        <v>100</v>
      </c>
      <c r="V28" s="704" t="s">
        <v>14</v>
      </c>
      <c r="W28" s="705">
        <f t="shared" si="14"/>
        <v>100</v>
      </c>
      <c r="X28" s="1350"/>
      <c r="Y28" s="3844"/>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44"/>
      <c r="Q29" s="1347" t="str">
        <f t="shared" si="11"/>
        <v>成新率</v>
      </c>
      <c r="R29" s="704" t="s">
        <v>14</v>
      </c>
      <c r="S29" s="705" t="e">
        <f t="shared" si="12"/>
        <v>#N/A</v>
      </c>
      <c r="T29" s="704" t="s">
        <v>14</v>
      </c>
      <c r="U29" s="705" t="e">
        <f t="shared" si="13"/>
        <v>#N/A</v>
      </c>
      <c r="V29" s="704" t="s">
        <v>14</v>
      </c>
      <c r="W29" s="705" t="e">
        <f t="shared" si="14"/>
        <v>#N/A</v>
      </c>
      <c r="X29" s="1350"/>
      <c r="Y29" s="3844"/>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44"/>
      <c r="Q30" s="1347" t="str">
        <f t="shared" si="11"/>
        <v>物业等级</v>
      </c>
      <c r="R30" s="704" t="s">
        <v>14</v>
      </c>
      <c r="S30" s="705">
        <f t="shared" si="12"/>
        <v>100</v>
      </c>
      <c r="T30" s="704" t="s">
        <v>14</v>
      </c>
      <c r="U30" s="705">
        <f t="shared" si="13"/>
        <v>100</v>
      </c>
      <c r="V30" s="704" t="s">
        <v>14</v>
      </c>
      <c r="W30" s="705">
        <f t="shared" si="14"/>
        <v>100</v>
      </c>
      <c r="X30" s="1350"/>
      <c r="Y30" s="3844"/>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44"/>
      <c r="Q31" s="1338" t="str">
        <f t="shared" si="11"/>
        <v>停车位面积</v>
      </c>
      <c r="R31" s="700" t="s">
        <v>14</v>
      </c>
      <c r="S31" s="701" t="e">
        <f t="shared" si="12"/>
        <v>#N/A</v>
      </c>
      <c r="T31" s="700" t="s">
        <v>14</v>
      </c>
      <c r="U31" s="701" t="e">
        <f t="shared" si="13"/>
        <v>#N/A</v>
      </c>
      <c r="V31" s="700" t="s">
        <v>14</v>
      </c>
      <c r="W31" s="701" t="e">
        <f t="shared" si="14"/>
        <v>#N/A</v>
      </c>
      <c r="X31" s="702"/>
      <c r="Y31" s="3844"/>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44" t="s">
        <v>1680</v>
      </c>
      <c r="Q32" s="1347" t="str">
        <f t="shared" si="11"/>
        <v>车位类型</v>
      </c>
      <c r="R32" s="704" t="s">
        <v>14</v>
      </c>
      <c r="S32" s="705">
        <f t="shared" si="12"/>
        <v>100</v>
      </c>
      <c r="T32" s="704" t="s">
        <v>14</v>
      </c>
      <c r="U32" s="705">
        <f t="shared" si="13"/>
        <v>100</v>
      </c>
      <c r="V32" s="704" t="s">
        <v>14</v>
      </c>
      <c r="W32" s="705">
        <f t="shared" si="14"/>
        <v>100</v>
      </c>
      <c r="X32" s="1350"/>
      <c r="Y32" s="3844"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44"/>
      <c r="Q33" s="1347" t="str">
        <f t="shared" si="11"/>
        <v>是否直接入户</v>
      </c>
      <c r="R33" s="704" t="s">
        <v>14</v>
      </c>
      <c r="S33" s="705">
        <f t="shared" si="12"/>
        <v>100</v>
      </c>
      <c r="T33" s="704" t="s">
        <v>14</v>
      </c>
      <c r="U33" s="705">
        <f t="shared" si="13"/>
        <v>100</v>
      </c>
      <c r="V33" s="704" t="s">
        <v>14</v>
      </c>
      <c r="W33" s="705">
        <f t="shared" si="14"/>
        <v>100</v>
      </c>
      <c r="X33" s="1350"/>
      <c r="Y33" s="3844"/>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44"/>
      <c r="Q34" s="1347">
        <f t="shared" si="11"/>
        <v>111</v>
      </c>
      <c r="R34" s="704" t="s">
        <v>14</v>
      </c>
      <c r="S34" s="705">
        <f t="shared" si="12"/>
        <v>100</v>
      </c>
      <c r="T34" s="704" t="s">
        <v>14</v>
      </c>
      <c r="U34" s="705">
        <f t="shared" si="13"/>
        <v>100</v>
      </c>
      <c r="V34" s="704" t="s">
        <v>14</v>
      </c>
      <c r="W34" s="705">
        <f t="shared" si="14"/>
        <v>100</v>
      </c>
      <c r="X34" s="1350"/>
      <c r="Y34" s="3844"/>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44"/>
      <c r="Q35" s="706">
        <f t="shared" si="11"/>
        <v>111</v>
      </c>
      <c r="R35" s="707" t="s">
        <v>14</v>
      </c>
      <c r="S35" s="708">
        <f t="shared" si="12"/>
        <v>100</v>
      </c>
      <c r="T35" s="707" t="s">
        <v>14</v>
      </c>
      <c r="U35" s="708">
        <f t="shared" si="13"/>
        <v>100</v>
      </c>
      <c r="V35" s="707" t="s">
        <v>14</v>
      </c>
      <c r="W35" s="708">
        <f t="shared" si="14"/>
        <v>100</v>
      </c>
      <c r="X35" s="709"/>
      <c r="Y35" s="3844"/>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44"/>
      <c r="Q36" s="1347">
        <f t="shared" si="11"/>
        <v>111</v>
      </c>
      <c r="R36" s="704" t="s">
        <v>14</v>
      </c>
      <c r="S36" s="705">
        <f t="shared" si="12"/>
        <v>100</v>
      </c>
      <c r="T36" s="704" t="s">
        <v>14</v>
      </c>
      <c r="U36" s="705">
        <f t="shared" si="13"/>
        <v>100</v>
      </c>
      <c r="V36" s="704" t="s">
        <v>14</v>
      </c>
      <c r="W36" s="705">
        <f t="shared" si="14"/>
        <v>100</v>
      </c>
      <c r="X36" s="1350"/>
      <c r="Y36" s="3844"/>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46" t="str">
        <f>A37</f>
        <v>成交单价</v>
      </c>
      <c r="Q37" s="3846"/>
      <c r="R37" s="3847">
        <f>E37</f>
        <v>0</v>
      </c>
      <c r="S37" s="3847"/>
      <c r="T37" s="3847">
        <f>G37</f>
        <v>0</v>
      </c>
      <c r="U37" s="3847"/>
      <c r="V37" s="3847">
        <f>I37</f>
        <v>0</v>
      </c>
      <c r="W37" s="3847"/>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46" t="str">
        <f>A38</f>
        <v>比较价值（元/平方米）</v>
      </c>
      <c r="Q38" s="3846"/>
      <c r="R38" s="3847" t="e">
        <f>IF(F1="售价",ROUND(PRODUCT(R37,AA7:AA36),0),ROUND(PRODUCT(R37,AA7:AA36),1))</f>
        <v>#DIV/0!</v>
      </c>
      <c r="S38" s="3847"/>
      <c r="T38" s="3847" t="e">
        <f>IF(F1="售价",ROUND(PRODUCT(T37,AB7:AB36),0),ROUND(PRODUCT(T37,AB7:AB36),1))</f>
        <v>#DIV/0!</v>
      </c>
      <c r="U38" s="3847"/>
      <c r="V38" s="3847" t="e">
        <f>IF(F1="售价",ROUND(PRODUCT(V37,AC7:AC36),0),ROUND(PRODUCT(V37,AC7:AC36),1))</f>
        <v>#DIV/0!</v>
      </c>
      <c r="W38" s="3847"/>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58" t="str">
        <f>A39</f>
        <v>估价对象XX用房的比较价值（楼面单价，元/平方米）</v>
      </c>
      <c r="Q39" s="3859"/>
      <c r="R39" s="3862" t="e">
        <f>IF(F1="售价",ROUND(IF(D38="简单平均",AVERAGE(R38:W38),R38*F38+T38*H38+V38*J38),0),ROUND(IF(D38="简单平均",AVERAGE(R38:V38),R38*F38+T38*H38+V38*J38),1))</f>
        <v>#DIV/0!</v>
      </c>
      <c r="S39" s="3862"/>
      <c r="T39" s="3862"/>
      <c r="U39" s="3862"/>
      <c r="V39" s="3862"/>
      <c r="W39" s="3862"/>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2024年7月18日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20" t="s">
        <v>1754</v>
      </c>
      <c r="D4" s="3821"/>
      <c r="E4" s="3822" t="s">
        <v>1755</v>
      </c>
      <c r="F4" s="3823"/>
      <c r="G4" s="3820" t="s">
        <v>1756</v>
      </c>
      <c r="H4" s="3821"/>
      <c r="I4" s="3820" t="s">
        <v>1757</v>
      </c>
      <c r="J4" s="3821"/>
      <c r="K4" s="559" t="s">
        <v>1758</v>
      </c>
      <c r="L4" s="2686"/>
      <c r="M4" s="2687"/>
      <c r="N4" s="2687"/>
      <c r="O4" s="2687"/>
      <c r="P4" s="3854" t="s">
        <v>1759</v>
      </c>
      <c r="Q4" s="3855"/>
      <c r="R4" s="3852" t="s">
        <v>1755</v>
      </c>
      <c r="S4" s="3853"/>
      <c r="T4" s="3852" t="s">
        <v>1756</v>
      </c>
      <c r="U4" s="3853"/>
      <c r="V4" s="3833" t="s">
        <v>1757</v>
      </c>
      <c r="W4" s="3833"/>
      <c r="X4" s="1350"/>
      <c r="Y4" s="3852" t="s">
        <v>1759</v>
      </c>
      <c r="Z4" s="3853"/>
      <c r="AA4" s="3851" t="s">
        <v>1755</v>
      </c>
      <c r="AB4" s="3800" t="s">
        <v>1756</v>
      </c>
      <c r="AC4" s="3851" t="s">
        <v>1757</v>
      </c>
    </row>
    <row r="5" spans="1:29" ht="15">
      <c r="A5" s="358"/>
      <c r="B5" s="359"/>
      <c r="C5" s="3810" t="s">
        <v>1657</v>
      </c>
      <c r="D5" s="3811"/>
      <c r="E5" s="3808" t="s">
        <v>1658</v>
      </c>
      <c r="F5" s="3809"/>
      <c r="G5" s="3810" t="s">
        <v>1659</v>
      </c>
      <c r="H5" s="3811"/>
      <c r="I5" s="3810" t="s">
        <v>1660</v>
      </c>
      <c r="J5" s="3811"/>
      <c r="K5" s="559"/>
      <c r="L5" s="2686"/>
      <c r="M5" s="2687"/>
      <c r="N5" s="2687"/>
      <c r="O5" s="2687"/>
      <c r="P5" s="3856"/>
      <c r="Q5" s="3827"/>
      <c r="R5" s="3806"/>
      <c r="S5" s="3807"/>
      <c r="T5" s="3806"/>
      <c r="U5" s="3807"/>
      <c r="V5" s="3833"/>
      <c r="W5" s="3833"/>
      <c r="X5" s="1350"/>
      <c r="Y5" s="3806"/>
      <c r="Z5" s="3807"/>
      <c r="AA5" s="3800"/>
      <c r="AB5" s="3800"/>
      <c r="AC5" s="3800"/>
    </row>
    <row r="6" spans="1:29" ht="15.75" thickBot="1">
      <c r="A6" s="360"/>
      <c r="B6" s="361"/>
      <c r="C6" s="3812" t="s">
        <v>1661</v>
      </c>
      <c r="D6" s="3813"/>
      <c r="E6" s="3814" t="s">
        <v>1661</v>
      </c>
      <c r="F6" s="3815"/>
      <c r="G6" s="3812" t="s">
        <v>1661</v>
      </c>
      <c r="H6" s="3813"/>
      <c r="I6" s="3812" t="s">
        <v>1661</v>
      </c>
      <c r="J6" s="3813"/>
      <c r="K6" s="559" t="s">
        <v>1662</v>
      </c>
      <c r="L6" s="2686"/>
      <c r="M6" s="2687"/>
      <c r="N6" s="2687"/>
      <c r="O6" s="2687"/>
      <c r="P6" s="3857"/>
      <c r="Q6" s="3829"/>
      <c r="R6" s="3806"/>
      <c r="S6" s="3807"/>
      <c r="T6" s="3830"/>
      <c r="U6" s="3831"/>
      <c r="V6" s="3833"/>
      <c r="W6" s="3833"/>
      <c r="X6" s="1350"/>
      <c r="Y6" s="3830"/>
      <c r="Z6" s="3831"/>
      <c r="AA6" s="3801"/>
      <c r="AB6" s="3801"/>
      <c r="AC6" s="3801"/>
    </row>
    <row r="7" spans="1:29" s="108" customFormat="1" ht="15.75" thickBot="1">
      <c r="A7" s="362" t="s">
        <v>1663</v>
      </c>
      <c r="B7" s="363"/>
      <c r="C7" s="364">
        <f>'数据-取费表'!B2</f>
        <v>45491</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02" t="s">
        <v>1664</v>
      </c>
      <c r="Q7" s="3836"/>
      <c r="R7" s="700" t="s">
        <v>14</v>
      </c>
      <c r="S7" s="701">
        <f t="shared" ref="S7:S14" si="0">F7</f>
        <v>0</v>
      </c>
      <c r="T7" s="700" t="s">
        <v>14</v>
      </c>
      <c r="U7" s="701">
        <f t="shared" ref="U7:U14" si="1">H7</f>
        <v>0</v>
      </c>
      <c r="V7" s="700" t="s">
        <v>14</v>
      </c>
      <c r="W7" s="701">
        <f t="shared" ref="W7:W14" si="2">J7</f>
        <v>0</v>
      </c>
      <c r="X7" s="702"/>
      <c r="Y7" s="3802" t="s">
        <v>1664</v>
      </c>
      <c r="Z7" s="3803"/>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02" t="s">
        <v>1667</v>
      </c>
      <c r="Q8" s="3803"/>
      <c r="R8" s="700" t="s">
        <v>14</v>
      </c>
      <c r="S8" s="701">
        <f t="shared" si="0"/>
        <v>100</v>
      </c>
      <c r="T8" s="700" t="s">
        <v>14</v>
      </c>
      <c r="U8" s="701">
        <f t="shared" si="1"/>
        <v>100</v>
      </c>
      <c r="V8" s="700" t="s">
        <v>14</v>
      </c>
      <c r="W8" s="701">
        <f t="shared" si="2"/>
        <v>100</v>
      </c>
      <c r="X8" s="702"/>
      <c r="Y8" s="3802" t="s">
        <v>1667</v>
      </c>
      <c r="Z8" s="3803"/>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46" t="s">
        <v>1670</v>
      </c>
      <c r="Q9" s="1338" t="str">
        <f t="shared" ref="Q9:Q14" si="6">B9</f>
        <v>用途</v>
      </c>
      <c r="R9" s="700" t="s">
        <v>14</v>
      </c>
      <c r="S9" s="701">
        <f t="shared" si="0"/>
        <v>100</v>
      </c>
      <c r="T9" s="700" t="s">
        <v>14</v>
      </c>
      <c r="U9" s="701">
        <f t="shared" si="1"/>
        <v>100</v>
      </c>
      <c r="V9" s="700" t="s">
        <v>14</v>
      </c>
      <c r="W9" s="701">
        <f t="shared" si="2"/>
        <v>100</v>
      </c>
      <c r="X9" s="702"/>
      <c r="Y9" s="3748"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46"/>
      <c r="Q10" s="1338" t="str">
        <f t="shared" si="6"/>
        <v>土地使用年限（年）</v>
      </c>
      <c r="R10" s="700" t="s">
        <v>14</v>
      </c>
      <c r="S10" s="701">
        <f t="shared" si="0"/>
        <v>100</v>
      </c>
      <c r="T10" s="700" t="s">
        <v>14</v>
      </c>
      <c r="U10" s="701">
        <f t="shared" si="1"/>
        <v>100</v>
      </c>
      <c r="V10" s="700" t="s">
        <v>14</v>
      </c>
      <c r="W10" s="701">
        <f t="shared" si="2"/>
        <v>100</v>
      </c>
      <c r="X10" s="702"/>
      <c r="Y10" s="3748"/>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46"/>
      <c r="Q11" s="1338">
        <f t="shared" si="6"/>
        <v>111</v>
      </c>
      <c r="R11" s="700" t="s">
        <v>14</v>
      </c>
      <c r="S11" s="701">
        <f t="shared" si="0"/>
        <v>100</v>
      </c>
      <c r="T11" s="700" t="s">
        <v>14</v>
      </c>
      <c r="U11" s="701">
        <f t="shared" si="1"/>
        <v>100</v>
      </c>
      <c r="V11" s="700" t="s">
        <v>14</v>
      </c>
      <c r="W11" s="701">
        <f t="shared" si="2"/>
        <v>100</v>
      </c>
      <c r="X11" s="702"/>
      <c r="Y11" s="3748"/>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46"/>
      <c r="Q12" s="1338">
        <f t="shared" si="6"/>
        <v>111</v>
      </c>
      <c r="R12" s="700" t="s">
        <v>14</v>
      </c>
      <c r="S12" s="701">
        <f t="shared" si="0"/>
        <v>100</v>
      </c>
      <c r="T12" s="700" t="s">
        <v>14</v>
      </c>
      <c r="U12" s="701">
        <f t="shared" si="1"/>
        <v>100</v>
      </c>
      <c r="V12" s="700" t="s">
        <v>14</v>
      </c>
      <c r="W12" s="701">
        <f t="shared" si="2"/>
        <v>100</v>
      </c>
      <c r="X12" s="702"/>
      <c r="Y12" s="3748"/>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46"/>
      <c r="Q13" s="1338">
        <f t="shared" si="6"/>
        <v>111</v>
      </c>
      <c r="R13" s="700" t="s">
        <v>14</v>
      </c>
      <c r="S13" s="701">
        <f t="shared" si="0"/>
        <v>100</v>
      </c>
      <c r="T13" s="700" t="s">
        <v>14</v>
      </c>
      <c r="U13" s="701">
        <f t="shared" si="1"/>
        <v>100</v>
      </c>
      <c r="V13" s="700" t="s">
        <v>14</v>
      </c>
      <c r="W13" s="701">
        <f t="shared" si="2"/>
        <v>100</v>
      </c>
      <c r="X13" s="702"/>
      <c r="Y13" s="3748"/>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39" t="s">
        <v>1675</v>
      </c>
      <c r="Q14" s="1347" t="str">
        <f t="shared" si="6"/>
        <v>交通便捷度</v>
      </c>
      <c r="R14" s="704" t="s">
        <v>14</v>
      </c>
      <c r="S14" s="705">
        <f t="shared" si="0"/>
        <v>100</v>
      </c>
      <c r="T14" s="704" t="s">
        <v>14</v>
      </c>
      <c r="U14" s="705">
        <f t="shared" si="1"/>
        <v>100</v>
      </c>
      <c r="V14" s="704" t="s">
        <v>14</v>
      </c>
      <c r="W14" s="705">
        <f t="shared" si="2"/>
        <v>100</v>
      </c>
      <c r="X14" s="1350"/>
      <c r="Y14" s="3839"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40"/>
      <c r="Q15" s="1347"/>
      <c r="R15" s="704"/>
      <c r="S15" s="705"/>
      <c r="T15" s="704"/>
      <c r="U15" s="705"/>
      <c r="V15" s="704"/>
      <c r="W15" s="705"/>
      <c r="X15" s="1350"/>
      <c r="Y15" s="3840"/>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40"/>
      <c r="Q16" s="1347" t="str">
        <f>B16</f>
        <v>公共配套设施</v>
      </c>
      <c r="R16" s="704" t="s">
        <v>14</v>
      </c>
      <c r="S16" s="705">
        <f>F16</f>
        <v>100</v>
      </c>
      <c r="T16" s="704" t="s">
        <v>14</v>
      </c>
      <c r="U16" s="705">
        <f>H16</f>
        <v>100</v>
      </c>
      <c r="V16" s="704" t="s">
        <v>14</v>
      </c>
      <c r="W16" s="705">
        <f>J16</f>
        <v>100</v>
      </c>
      <c r="X16" s="1350"/>
      <c r="Y16" s="3840"/>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40"/>
      <c r="Q17" s="1347"/>
      <c r="R17" s="704"/>
      <c r="S17" s="705"/>
      <c r="T17" s="704"/>
      <c r="U17" s="705"/>
      <c r="V17" s="704"/>
      <c r="W17" s="705"/>
      <c r="X17" s="1350"/>
      <c r="Y17" s="3840"/>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40"/>
      <c r="Q18" s="1347" t="str">
        <f>B18</f>
        <v>基础设施水平</v>
      </c>
      <c r="R18" s="704" t="s">
        <v>14</v>
      </c>
      <c r="S18" s="705">
        <f>F18</f>
        <v>100</v>
      </c>
      <c r="T18" s="704" t="s">
        <v>14</v>
      </c>
      <c r="U18" s="705">
        <f>H18</f>
        <v>100</v>
      </c>
      <c r="V18" s="704" t="s">
        <v>14</v>
      </c>
      <c r="W18" s="705">
        <f>J18</f>
        <v>100</v>
      </c>
      <c r="X18" s="1350"/>
      <c r="Y18" s="3840"/>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40"/>
      <c r="Q19" s="1347"/>
      <c r="R19" s="704"/>
      <c r="S19" s="705"/>
      <c r="T19" s="704"/>
      <c r="U19" s="705"/>
      <c r="V19" s="704"/>
      <c r="W19" s="705"/>
      <c r="X19" s="1350"/>
      <c r="Y19" s="3840"/>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40"/>
      <c r="Q20" s="1347" t="str">
        <f>B20</f>
        <v>自然及人文环境</v>
      </c>
      <c r="R20" s="704" t="s">
        <v>14</v>
      </c>
      <c r="S20" s="705">
        <f>F20</f>
        <v>100</v>
      </c>
      <c r="T20" s="704" t="s">
        <v>14</v>
      </c>
      <c r="U20" s="705">
        <f>H20</f>
        <v>100</v>
      </c>
      <c r="V20" s="704" t="s">
        <v>14</v>
      </c>
      <c r="W20" s="705">
        <f>J20</f>
        <v>100</v>
      </c>
      <c r="X20" s="1350"/>
      <c r="Y20" s="3840"/>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40"/>
      <c r="Q21" s="1347"/>
      <c r="R21" s="704"/>
      <c r="S21" s="705"/>
      <c r="T21" s="704"/>
      <c r="U21" s="705"/>
      <c r="V21" s="704"/>
      <c r="W21" s="705"/>
      <c r="X21" s="1350"/>
      <c r="Y21" s="3840"/>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40"/>
      <c r="Q22" s="1347" t="str">
        <f>B22</f>
        <v>楼层</v>
      </c>
      <c r="R22" s="704" t="s">
        <v>14</v>
      </c>
      <c r="S22" s="705">
        <f>F22</f>
        <v>100</v>
      </c>
      <c r="T22" s="704" t="s">
        <v>14</v>
      </c>
      <c r="U22" s="705">
        <f>H22</f>
        <v>100</v>
      </c>
      <c r="V22" s="704" t="s">
        <v>14</v>
      </c>
      <c r="W22" s="705">
        <f>J22</f>
        <v>100</v>
      </c>
      <c r="X22" s="1350"/>
      <c r="Y22" s="3840"/>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40"/>
      <c r="Q23" s="1347">
        <f>B23</f>
        <v>111</v>
      </c>
      <c r="R23" s="704" t="s">
        <v>14</v>
      </c>
      <c r="S23" s="705">
        <f>F23</f>
        <v>100</v>
      </c>
      <c r="T23" s="704" t="s">
        <v>14</v>
      </c>
      <c r="U23" s="705">
        <f>H23</f>
        <v>100</v>
      </c>
      <c r="V23" s="704" t="s">
        <v>14</v>
      </c>
      <c r="W23" s="705">
        <f>J23</f>
        <v>100</v>
      </c>
      <c r="X23" s="1350"/>
      <c r="Y23" s="3840"/>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40"/>
      <c r="Q24" s="1347">
        <f t="shared" ref="Q24:Q34" si="11">B24</f>
        <v>111</v>
      </c>
      <c r="R24" s="704" t="s">
        <v>14</v>
      </c>
      <c r="S24" s="705">
        <f>F24</f>
        <v>100</v>
      </c>
      <c r="T24" s="704" t="s">
        <v>14</v>
      </c>
      <c r="U24" s="705">
        <f>H24</f>
        <v>100</v>
      </c>
      <c r="V24" s="704" t="s">
        <v>14</v>
      </c>
      <c r="W24" s="705">
        <f>J24</f>
        <v>100</v>
      </c>
      <c r="X24" s="1350"/>
      <c r="Y24" s="3840"/>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40"/>
      <c r="Q25" s="1338">
        <f t="shared" si="11"/>
        <v>111</v>
      </c>
      <c r="R25" s="700" t="s">
        <v>14</v>
      </c>
      <c r="S25" s="701">
        <f>F25</f>
        <v>100</v>
      </c>
      <c r="T25" s="700" t="s">
        <v>14</v>
      </c>
      <c r="U25" s="701">
        <f>H25</f>
        <v>100</v>
      </c>
      <c r="V25" s="700" t="s">
        <v>14</v>
      </c>
      <c r="W25" s="701">
        <f>J25</f>
        <v>100</v>
      </c>
      <c r="X25" s="702"/>
      <c r="Y25" s="3840"/>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61"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44"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44"/>
      <c r="Q27" s="706" t="str">
        <f t="shared" si="11"/>
        <v>成新率</v>
      </c>
      <c r="R27" s="707" t="s">
        <v>14</v>
      </c>
      <c r="S27" s="708" t="e">
        <f t="shared" si="12"/>
        <v>#N/A</v>
      </c>
      <c r="T27" s="707" t="s">
        <v>14</v>
      </c>
      <c r="U27" s="708" t="e">
        <f t="shared" si="13"/>
        <v>#N/A</v>
      </c>
      <c r="V27" s="707" t="s">
        <v>14</v>
      </c>
      <c r="W27" s="708" t="e">
        <f t="shared" si="14"/>
        <v>#N/A</v>
      </c>
      <c r="X27" s="709"/>
      <c r="Y27" s="3844"/>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44"/>
      <c r="Q28" s="1347" t="str">
        <f t="shared" si="11"/>
        <v>物业等级</v>
      </c>
      <c r="R28" s="704" t="s">
        <v>14</v>
      </c>
      <c r="S28" s="705">
        <f t="shared" si="12"/>
        <v>100</v>
      </c>
      <c r="T28" s="704" t="s">
        <v>14</v>
      </c>
      <c r="U28" s="705">
        <f t="shared" si="13"/>
        <v>100</v>
      </c>
      <c r="V28" s="704" t="s">
        <v>14</v>
      </c>
      <c r="W28" s="705">
        <f t="shared" si="14"/>
        <v>100</v>
      </c>
      <c r="X28" s="1350"/>
      <c r="Y28" s="3844"/>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44"/>
      <c r="Q29" s="1347" t="str">
        <f t="shared" si="11"/>
        <v>有无电梯</v>
      </c>
      <c r="R29" s="704" t="s">
        <v>14</v>
      </c>
      <c r="S29" s="705">
        <f t="shared" si="12"/>
        <v>100</v>
      </c>
      <c r="T29" s="704" t="s">
        <v>14</v>
      </c>
      <c r="U29" s="705">
        <f t="shared" si="13"/>
        <v>100</v>
      </c>
      <c r="V29" s="704" t="s">
        <v>14</v>
      </c>
      <c r="W29" s="705">
        <f t="shared" si="14"/>
        <v>100</v>
      </c>
      <c r="X29" s="1350"/>
      <c r="Y29" s="3844"/>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44"/>
      <c r="Q30" s="1347" t="str">
        <f t="shared" si="11"/>
        <v>建筑面积</v>
      </c>
      <c r="R30" s="704" t="s">
        <v>14</v>
      </c>
      <c r="S30" s="705" t="e">
        <f t="shared" si="12"/>
        <v>#N/A</v>
      </c>
      <c r="T30" s="704" t="s">
        <v>14</v>
      </c>
      <c r="U30" s="705" t="e">
        <f t="shared" si="13"/>
        <v>#N/A</v>
      </c>
      <c r="V30" s="704" t="s">
        <v>14</v>
      </c>
      <c r="W30" s="705" t="e">
        <f t="shared" si="14"/>
        <v>#N/A</v>
      </c>
      <c r="X30" s="1350"/>
      <c r="Y30" s="3844"/>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44"/>
      <c r="Q31" s="1338" t="str">
        <f t="shared" si="11"/>
        <v>是否封闭</v>
      </c>
      <c r="R31" s="700" t="s">
        <v>14</v>
      </c>
      <c r="S31" s="701">
        <f t="shared" si="12"/>
        <v>100</v>
      </c>
      <c r="T31" s="700" t="s">
        <v>14</v>
      </c>
      <c r="U31" s="701">
        <f t="shared" si="13"/>
        <v>100</v>
      </c>
      <c r="V31" s="700" t="s">
        <v>14</v>
      </c>
      <c r="W31" s="701">
        <f t="shared" si="14"/>
        <v>100</v>
      </c>
      <c r="X31" s="702"/>
      <c r="Y31" s="3844"/>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44" t="s">
        <v>1680</v>
      </c>
      <c r="Q32" s="1347">
        <f t="shared" si="11"/>
        <v>111</v>
      </c>
      <c r="R32" s="704" t="s">
        <v>14</v>
      </c>
      <c r="S32" s="705">
        <f t="shared" si="12"/>
        <v>100</v>
      </c>
      <c r="T32" s="704" t="s">
        <v>14</v>
      </c>
      <c r="U32" s="705">
        <f t="shared" si="13"/>
        <v>100</v>
      </c>
      <c r="V32" s="704" t="s">
        <v>14</v>
      </c>
      <c r="W32" s="705">
        <f t="shared" si="14"/>
        <v>100</v>
      </c>
      <c r="X32" s="1350"/>
      <c r="Y32" s="3844"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44"/>
      <c r="Q33" s="1347">
        <f t="shared" si="11"/>
        <v>111</v>
      </c>
      <c r="R33" s="704" t="s">
        <v>14</v>
      </c>
      <c r="S33" s="705">
        <f t="shared" si="12"/>
        <v>100</v>
      </c>
      <c r="T33" s="704" t="s">
        <v>14</v>
      </c>
      <c r="U33" s="705">
        <f t="shared" si="13"/>
        <v>100</v>
      </c>
      <c r="V33" s="704" t="s">
        <v>14</v>
      </c>
      <c r="W33" s="705">
        <f t="shared" si="14"/>
        <v>100</v>
      </c>
      <c r="X33" s="1350"/>
      <c r="Y33" s="3844"/>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44"/>
      <c r="Q34" s="1347">
        <f t="shared" si="11"/>
        <v>111</v>
      </c>
      <c r="R34" s="704" t="s">
        <v>14</v>
      </c>
      <c r="S34" s="705">
        <f t="shared" si="12"/>
        <v>100</v>
      </c>
      <c r="T34" s="704" t="s">
        <v>14</v>
      </c>
      <c r="U34" s="705">
        <f t="shared" si="13"/>
        <v>100</v>
      </c>
      <c r="V34" s="704" t="s">
        <v>14</v>
      </c>
      <c r="W34" s="705">
        <f t="shared" si="14"/>
        <v>100</v>
      </c>
      <c r="X34" s="1350"/>
      <c r="Y34" s="3844"/>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46" t="str">
        <f>A35</f>
        <v>成交单价（元/平方米）</v>
      </c>
      <c r="Q35" s="3846"/>
      <c r="R35" s="3847">
        <f>E35</f>
        <v>0</v>
      </c>
      <c r="S35" s="3847"/>
      <c r="T35" s="3847">
        <f>G35</f>
        <v>0</v>
      </c>
      <c r="U35" s="3847"/>
      <c r="V35" s="3847">
        <f>I35</f>
        <v>0</v>
      </c>
      <c r="W35" s="3847"/>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46" t="str">
        <f>A36</f>
        <v>比较价值（元/平方米）</v>
      </c>
      <c r="Q36" s="3846"/>
      <c r="R36" s="3847" t="e">
        <f>IF(F1="售价",ROUND(PRODUCT(R35,AA7:AA34),0),ROUND(PRODUCT(R35,AA7:AA34),1))</f>
        <v>#DIV/0!</v>
      </c>
      <c r="S36" s="3847"/>
      <c r="T36" s="3847" t="e">
        <f>IF(F1="售价",ROUND(PRODUCT(T35,AB7:AB34),0),ROUND(PRODUCT(T35,AB7:AB34),1))</f>
        <v>#DIV/0!</v>
      </c>
      <c r="U36" s="3847"/>
      <c r="V36" s="3847" t="e">
        <f>IF(F1="售价",ROUND(PRODUCT(V35,AC7:AC34),0),ROUND(PRODUCT(V35,AC7:AC34),1))</f>
        <v>#DIV/0!</v>
      </c>
      <c r="W36" s="3847"/>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58" t="str">
        <f>A37</f>
        <v>估价对象XX用房的比较价值（楼面单价，元/平方米）</v>
      </c>
      <c r="Q37" s="3859"/>
      <c r="R37" s="3862" t="e">
        <f>IF(F1="售价",ROUND(IF(D36="简单平均",AVERAGE(R36:W36),R36*F36+T36*H36+V36*J36),0),ROUND(IF(D36="简单平均",AVERAGE(R36:V36),R36*F36+T36*H36+V36*J36),1))</f>
        <v>#DIV/0!</v>
      </c>
      <c r="S37" s="3862"/>
      <c r="T37" s="3862"/>
      <c r="U37" s="3862"/>
      <c r="V37" s="3862"/>
      <c r="W37" s="3862"/>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20" t="s">
        <v>1754</v>
      </c>
      <c r="D4" s="3821"/>
      <c r="E4" s="3822" t="s">
        <v>1755</v>
      </c>
      <c r="F4" s="3823"/>
      <c r="G4" s="3820" t="s">
        <v>1756</v>
      </c>
      <c r="H4" s="3821"/>
      <c r="I4" s="3820" t="s">
        <v>1757</v>
      </c>
      <c r="J4" s="3821"/>
      <c r="K4" s="559" t="s">
        <v>1758</v>
      </c>
      <c r="L4" s="2686"/>
      <c r="M4" s="2687"/>
      <c r="N4" s="2687"/>
      <c r="O4" s="2687"/>
      <c r="P4" s="3854" t="s">
        <v>1759</v>
      </c>
      <c r="Q4" s="3855"/>
      <c r="R4" s="3852" t="s">
        <v>1755</v>
      </c>
      <c r="S4" s="3853"/>
      <c r="T4" s="3852" t="s">
        <v>1756</v>
      </c>
      <c r="U4" s="3853"/>
      <c r="V4" s="3833" t="s">
        <v>1757</v>
      </c>
      <c r="W4" s="3833"/>
      <c r="X4" s="1350"/>
      <c r="Y4" s="3852" t="s">
        <v>1759</v>
      </c>
      <c r="Z4" s="3853"/>
      <c r="AA4" s="3851" t="s">
        <v>1755</v>
      </c>
      <c r="AB4" s="3800" t="s">
        <v>1756</v>
      </c>
      <c r="AC4" s="3851" t="s">
        <v>1757</v>
      </c>
    </row>
    <row r="5" spans="1:29" ht="15">
      <c r="A5" s="358"/>
      <c r="B5" s="359"/>
      <c r="C5" s="3810" t="s">
        <v>1657</v>
      </c>
      <c r="D5" s="3811"/>
      <c r="E5" s="3808" t="s">
        <v>1658</v>
      </c>
      <c r="F5" s="3809"/>
      <c r="G5" s="3810" t="s">
        <v>1659</v>
      </c>
      <c r="H5" s="3811"/>
      <c r="I5" s="3810" t="s">
        <v>1660</v>
      </c>
      <c r="J5" s="3811"/>
      <c r="K5" s="559"/>
      <c r="L5" s="2686"/>
      <c r="M5" s="2687"/>
      <c r="N5" s="2687"/>
      <c r="O5" s="2687"/>
      <c r="P5" s="3856"/>
      <c r="Q5" s="3827"/>
      <c r="R5" s="3806"/>
      <c r="S5" s="3807"/>
      <c r="T5" s="3806"/>
      <c r="U5" s="3807"/>
      <c r="V5" s="3833"/>
      <c r="W5" s="3833"/>
      <c r="X5" s="1350"/>
      <c r="Y5" s="3806"/>
      <c r="Z5" s="3807"/>
      <c r="AA5" s="3800"/>
      <c r="AB5" s="3800"/>
      <c r="AC5" s="3800"/>
    </row>
    <row r="6" spans="1:29" ht="15.75" thickBot="1">
      <c r="A6" s="360"/>
      <c r="B6" s="361"/>
      <c r="C6" s="3866" t="s">
        <v>1903</v>
      </c>
      <c r="D6" s="3867"/>
      <c r="E6" s="3868" t="s">
        <v>1903</v>
      </c>
      <c r="F6" s="3869"/>
      <c r="G6" s="3866" t="s">
        <v>1903</v>
      </c>
      <c r="H6" s="3867"/>
      <c r="I6" s="3866" t="s">
        <v>1903</v>
      </c>
      <c r="J6" s="3867"/>
      <c r="K6" s="559" t="s">
        <v>1662</v>
      </c>
      <c r="L6" s="2686"/>
      <c r="M6" s="2687"/>
      <c r="N6" s="2687"/>
      <c r="O6" s="2687"/>
      <c r="P6" s="3857"/>
      <c r="Q6" s="3829"/>
      <c r="R6" s="3806"/>
      <c r="S6" s="3807"/>
      <c r="T6" s="3830"/>
      <c r="U6" s="3831"/>
      <c r="V6" s="3833"/>
      <c r="W6" s="3833"/>
      <c r="X6" s="1350"/>
      <c r="Y6" s="3830"/>
      <c r="Z6" s="3831"/>
      <c r="AA6" s="3801"/>
      <c r="AB6" s="3801"/>
      <c r="AC6" s="3801"/>
    </row>
    <row r="7" spans="1:29" s="108" customFormat="1" ht="15.75" thickBot="1">
      <c r="A7" s="362" t="s">
        <v>1663</v>
      </c>
      <c r="B7" s="363"/>
      <c r="C7" s="364">
        <f>'数据-取费表'!B2</f>
        <v>45491</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02" t="s">
        <v>1664</v>
      </c>
      <c r="Q7" s="3836"/>
      <c r="R7" s="700" t="s">
        <v>14</v>
      </c>
      <c r="S7" s="701">
        <f t="shared" ref="S7:S15" si="0">F7</f>
        <v>0</v>
      </c>
      <c r="T7" s="700" t="s">
        <v>14</v>
      </c>
      <c r="U7" s="701">
        <f t="shared" ref="U7:U15" si="1">H7</f>
        <v>0</v>
      </c>
      <c r="V7" s="700" t="s">
        <v>14</v>
      </c>
      <c r="W7" s="701">
        <f t="shared" ref="W7:W15" si="2">J7</f>
        <v>0</v>
      </c>
      <c r="X7" s="702"/>
      <c r="Y7" s="3802" t="s">
        <v>1664</v>
      </c>
      <c r="Z7" s="3803"/>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02" t="s">
        <v>1667</v>
      </c>
      <c r="Q8" s="3803"/>
      <c r="R8" s="700" t="s">
        <v>14</v>
      </c>
      <c r="S8" s="701">
        <f t="shared" si="0"/>
        <v>0</v>
      </c>
      <c r="T8" s="700" t="s">
        <v>14</v>
      </c>
      <c r="U8" s="701">
        <f t="shared" si="1"/>
        <v>0</v>
      </c>
      <c r="V8" s="700" t="s">
        <v>14</v>
      </c>
      <c r="W8" s="701">
        <f t="shared" si="2"/>
        <v>0</v>
      </c>
      <c r="X8" s="702"/>
      <c r="Y8" s="3802" t="s">
        <v>1667</v>
      </c>
      <c r="Z8" s="3803"/>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46" t="s">
        <v>1670</v>
      </c>
      <c r="Q9" s="1338" t="str">
        <f t="shared" ref="Q9:Q15" si="6">B9</f>
        <v>用途</v>
      </c>
      <c r="R9" s="700" t="s">
        <v>14</v>
      </c>
      <c r="S9" s="701">
        <f t="shared" si="0"/>
        <v>100</v>
      </c>
      <c r="T9" s="700" t="s">
        <v>14</v>
      </c>
      <c r="U9" s="701">
        <f t="shared" si="1"/>
        <v>100</v>
      </c>
      <c r="V9" s="700" t="s">
        <v>14</v>
      </c>
      <c r="W9" s="701">
        <f t="shared" si="2"/>
        <v>100</v>
      </c>
      <c r="X9" s="702"/>
      <c r="Y9" s="3748"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126</v>
      </c>
      <c r="G10" s="383"/>
      <c r="H10" s="127">
        <f>ROUND(100/'数据-取费表'!G16,0)</f>
        <v>126</v>
      </c>
      <c r="I10" s="383"/>
      <c r="J10" s="127">
        <f>ROUND(100/'数据-取费表'!G16,0)</f>
        <v>126</v>
      </c>
      <c r="K10" s="620"/>
      <c r="L10" s="2690"/>
      <c r="M10" s="2691"/>
      <c r="N10" s="2691"/>
      <c r="O10" s="2744"/>
      <c r="P10" s="3846"/>
      <c r="Q10" s="1338" t="str">
        <f t="shared" si="6"/>
        <v>土地使用年限（年）</v>
      </c>
      <c r="R10" s="700" t="s">
        <v>14</v>
      </c>
      <c r="S10" s="701">
        <f t="shared" si="0"/>
        <v>126</v>
      </c>
      <c r="T10" s="700" t="s">
        <v>14</v>
      </c>
      <c r="U10" s="701">
        <f t="shared" si="1"/>
        <v>126</v>
      </c>
      <c r="V10" s="700" t="s">
        <v>14</v>
      </c>
      <c r="W10" s="701">
        <f t="shared" si="2"/>
        <v>126</v>
      </c>
      <c r="X10" s="702"/>
      <c r="Y10" s="3748"/>
      <c r="Z10" s="52" t="str">
        <f t="shared" si="7"/>
        <v>土地使用年限（年）</v>
      </c>
      <c r="AA10" s="703">
        <f t="shared" si="3"/>
        <v>0.79365079365079361</v>
      </c>
      <c r="AB10" s="703">
        <f t="shared" si="4"/>
        <v>0.79365079365079361</v>
      </c>
      <c r="AC10" s="703">
        <f t="shared" si="5"/>
        <v>0.79365079365079361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46"/>
      <c r="Q11" s="1338" t="str">
        <f t="shared" si="6"/>
        <v>容积率</v>
      </c>
      <c r="R11" s="700" t="s">
        <v>14</v>
      </c>
      <c r="S11" s="701" t="e">
        <f t="shared" si="0"/>
        <v>#N/A</v>
      </c>
      <c r="T11" s="700" t="s">
        <v>14</v>
      </c>
      <c r="U11" s="701" t="e">
        <f t="shared" si="1"/>
        <v>#N/A</v>
      </c>
      <c r="V11" s="700" t="s">
        <v>14</v>
      </c>
      <c r="W11" s="701" t="e">
        <f t="shared" si="2"/>
        <v>#N/A</v>
      </c>
      <c r="X11" s="702"/>
      <c r="Y11" s="3748"/>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46"/>
      <c r="Q12" s="1338">
        <f t="shared" si="6"/>
        <v>111</v>
      </c>
      <c r="R12" s="700" t="s">
        <v>14</v>
      </c>
      <c r="S12" s="701">
        <f t="shared" si="0"/>
        <v>100</v>
      </c>
      <c r="T12" s="700" t="s">
        <v>14</v>
      </c>
      <c r="U12" s="701">
        <f t="shared" si="1"/>
        <v>100</v>
      </c>
      <c r="V12" s="700" t="s">
        <v>14</v>
      </c>
      <c r="W12" s="701">
        <f t="shared" si="2"/>
        <v>100</v>
      </c>
      <c r="X12" s="702"/>
      <c r="Y12" s="3748"/>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46"/>
      <c r="Q13" s="1338">
        <f t="shared" si="6"/>
        <v>111</v>
      </c>
      <c r="R13" s="700" t="s">
        <v>14</v>
      </c>
      <c r="S13" s="701">
        <f t="shared" si="0"/>
        <v>100</v>
      </c>
      <c r="T13" s="700" t="s">
        <v>14</v>
      </c>
      <c r="U13" s="701">
        <f t="shared" si="1"/>
        <v>100</v>
      </c>
      <c r="V13" s="700" t="s">
        <v>14</v>
      </c>
      <c r="W13" s="701">
        <f t="shared" si="2"/>
        <v>100</v>
      </c>
      <c r="X13" s="702"/>
      <c r="Y13" s="3748"/>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46"/>
      <c r="Q14" s="1338">
        <f t="shared" si="6"/>
        <v>111</v>
      </c>
      <c r="R14" s="700" t="s">
        <v>14</v>
      </c>
      <c r="S14" s="701">
        <f t="shared" si="0"/>
        <v>100</v>
      </c>
      <c r="T14" s="700" t="s">
        <v>14</v>
      </c>
      <c r="U14" s="701">
        <f t="shared" si="1"/>
        <v>100</v>
      </c>
      <c r="V14" s="700" t="s">
        <v>14</v>
      </c>
      <c r="W14" s="701">
        <f t="shared" si="2"/>
        <v>100</v>
      </c>
      <c r="X14" s="702"/>
      <c r="Y14" s="3748"/>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39" t="s">
        <v>1675</v>
      </c>
      <c r="Q15" s="1347" t="str">
        <f t="shared" si="6"/>
        <v>产业集聚程度</v>
      </c>
      <c r="R15" s="704" t="s">
        <v>14</v>
      </c>
      <c r="S15" s="705">
        <f t="shared" si="0"/>
        <v>100</v>
      </c>
      <c r="T15" s="704" t="s">
        <v>14</v>
      </c>
      <c r="U15" s="705">
        <f t="shared" si="1"/>
        <v>100</v>
      </c>
      <c r="V15" s="704" t="s">
        <v>14</v>
      </c>
      <c r="W15" s="705">
        <f t="shared" si="2"/>
        <v>100</v>
      </c>
      <c r="X15" s="1350"/>
      <c r="Y15" s="3839"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40"/>
      <c r="Q16" s="1347"/>
      <c r="R16" s="704"/>
      <c r="S16" s="705"/>
      <c r="T16" s="704"/>
      <c r="U16" s="705"/>
      <c r="V16" s="704"/>
      <c r="W16" s="705"/>
      <c r="X16" s="1350"/>
      <c r="Y16" s="3840"/>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40"/>
      <c r="Q17" s="1347" t="str">
        <f>B17</f>
        <v>交通便捷度</v>
      </c>
      <c r="R17" s="704" t="s">
        <v>14</v>
      </c>
      <c r="S17" s="705">
        <f>F17</f>
        <v>100</v>
      </c>
      <c r="T17" s="704" t="s">
        <v>14</v>
      </c>
      <c r="U17" s="705">
        <f>H17</f>
        <v>100</v>
      </c>
      <c r="V17" s="704" t="s">
        <v>14</v>
      </c>
      <c r="W17" s="705">
        <f>J17</f>
        <v>100</v>
      </c>
      <c r="X17" s="1350"/>
      <c r="Y17" s="3840"/>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40"/>
      <c r="Q18" s="1347"/>
      <c r="R18" s="704"/>
      <c r="S18" s="705"/>
      <c r="T18" s="704"/>
      <c r="U18" s="705"/>
      <c r="V18" s="704"/>
      <c r="W18" s="705"/>
      <c r="X18" s="1350"/>
      <c r="Y18" s="3840"/>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40"/>
      <c r="Q19" s="1347" t="str">
        <f t="shared" ref="Q19:Q33" si="8">B19</f>
        <v>区域土地利用方向</v>
      </c>
      <c r="R19" s="704" t="s">
        <v>14</v>
      </c>
      <c r="S19" s="705">
        <f>F19</f>
        <v>100</v>
      </c>
      <c r="T19" s="704" t="s">
        <v>14</v>
      </c>
      <c r="U19" s="705">
        <f>H19</f>
        <v>100</v>
      </c>
      <c r="V19" s="704" t="s">
        <v>14</v>
      </c>
      <c r="W19" s="705">
        <f>J19</f>
        <v>100</v>
      </c>
      <c r="X19" s="1350"/>
      <c r="Y19" s="3840"/>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40"/>
      <c r="Q20" s="1347"/>
      <c r="R20" s="704"/>
      <c r="S20" s="705"/>
      <c r="T20" s="704"/>
      <c r="U20" s="705"/>
      <c r="V20" s="704"/>
      <c r="W20" s="705"/>
      <c r="X20" s="1350"/>
      <c r="Y20" s="3840"/>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40"/>
      <c r="Q21" s="1347" t="str">
        <f t="shared" si="8"/>
        <v>环境状况</v>
      </c>
      <c r="R21" s="704" t="s">
        <v>14</v>
      </c>
      <c r="S21" s="705">
        <f>F21</f>
        <v>100</v>
      </c>
      <c r="T21" s="704" t="s">
        <v>14</v>
      </c>
      <c r="U21" s="705">
        <f>H21</f>
        <v>100</v>
      </c>
      <c r="V21" s="704" t="s">
        <v>14</v>
      </c>
      <c r="W21" s="705">
        <f>J21</f>
        <v>100</v>
      </c>
      <c r="X21" s="1350"/>
      <c r="Y21" s="3840"/>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40"/>
      <c r="Q22" s="1347"/>
      <c r="R22" s="704"/>
      <c r="S22" s="705"/>
      <c r="T22" s="704"/>
      <c r="U22" s="705"/>
      <c r="V22" s="704"/>
      <c r="W22" s="705"/>
      <c r="X22" s="1350"/>
      <c r="Y22" s="3840"/>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40"/>
      <c r="Q23" s="1338" t="str">
        <f t="shared" si="8"/>
        <v>公共配套设施</v>
      </c>
      <c r="R23" s="700" t="s">
        <v>14</v>
      </c>
      <c r="S23" s="701">
        <f>F23</f>
        <v>100</v>
      </c>
      <c r="T23" s="700" t="s">
        <v>14</v>
      </c>
      <c r="U23" s="701">
        <f>H23</f>
        <v>100</v>
      </c>
      <c r="V23" s="700" t="s">
        <v>14</v>
      </c>
      <c r="W23" s="701">
        <f>J23</f>
        <v>100</v>
      </c>
      <c r="X23" s="702"/>
      <c r="Y23" s="3840"/>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40"/>
      <c r="Q24" s="1338"/>
      <c r="R24" s="700"/>
      <c r="S24" s="701"/>
      <c r="T24" s="700"/>
      <c r="U24" s="701"/>
      <c r="V24" s="700"/>
      <c r="W24" s="701"/>
      <c r="X24" s="702"/>
      <c r="Y24" s="3840"/>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40"/>
      <c r="Q25" s="1338" t="str">
        <f t="shared" ref="Q25" si="9">B25</f>
        <v>基础设施水平</v>
      </c>
      <c r="R25" s="700" t="s">
        <v>14</v>
      </c>
      <c r="S25" s="701">
        <f>F25</f>
        <v>100</v>
      </c>
      <c r="T25" s="700" t="s">
        <v>14</v>
      </c>
      <c r="U25" s="701">
        <f>H25</f>
        <v>100</v>
      </c>
      <c r="V25" s="700" t="s">
        <v>14</v>
      </c>
      <c r="W25" s="701">
        <f>J25</f>
        <v>100</v>
      </c>
      <c r="X25" s="702"/>
      <c r="Y25" s="3840"/>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40"/>
      <c r="Q26" s="1338"/>
      <c r="R26" s="700"/>
      <c r="S26" s="701"/>
      <c r="T26" s="700"/>
      <c r="U26" s="701"/>
      <c r="V26" s="700"/>
      <c r="W26" s="701"/>
      <c r="X26" s="702"/>
      <c r="Y26" s="3840"/>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40"/>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40"/>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40"/>
      <c r="Q28" s="1347" t="str">
        <f t="shared" si="8"/>
        <v>毗邻道路的类型与等级</v>
      </c>
      <c r="R28" s="704" t="s">
        <v>14</v>
      </c>
      <c r="S28" s="705">
        <f t="shared" si="10"/>
        <v>100</v>
      </c>
      <c r="T28" s="704" t="s">
        <v>14</v>
      </c>
      <c r="U28" s="705">
        <f t="shared" si="11"/>
        <v>100</v>
      </c>
      <c r="V28" s="704" t="s">
        <v>14</v>
      </c>
      <c r="W28" s="705">
        <f t="shared" si="12"/>
        <v>100</v>
      </c>
      <c r="X28" s="1350"/>
      <c r="Y28" s="3840"/>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40"/>
      <c r="Q29" s="1347"/>
      <c r="R29" s="704"/>
      <c r="S29" s="705"/>
      <c r="T29" s="704"/>
      <c r="U29" s="705"/>
      <c r="V29" s="704"/>
      <c r="W29" s="705"/>
      <c r="X29" s="1350"/>
      <c r="Y29" s="3840"/>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40"/>
      <c r="Q30" s="1347" t="str">
        <f t="shared" si="8"/>
        <v>土地级别</v>
      </c>
      <c r="R30" s="704" t="s">
        <v>14</v>
      </c>
      <c r="S30" s="705">
        <f t="shared" si="10"/>
        <v>100</v>
      </c>
      <c r="T30" s="704" t="s">
        <v>14</v>
      </c>
      <c r="U30" s="705">
        <f t="shared" si="11"/>
        <v>100</v>
      </c>
      <c r="V30" s="704" t="s">
        <v>14</v>
      </c>
      <c r="W30" s="705">
        <f t="shared" si="12"/>
        <v>100</v>
      </c>
      <c r="X30" s="1350"/>
      <c r="Y30" s="3840"/>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40"/>
      <c r="Q31" s="1347">
        <f t="shared" si="8"/>
        <v>111</v>
      </c>
      <c r="R31" s="704" t="s">
        <v>14</v>
      </c>
      <c r="S31" s="705">
        <f t="shared" si="10"/>
        <v>100</v>
      </c>
      <c r="T31" s="704" t="s">
        <v>14</v>
      </c>
      <c r="U31" s="705">
        <f t="shared" si="11"/>
        <v>100</v>
      </c>
      <c r="V31" s="704" t="s">
        <v>14</v>
      </c>
      <c r="W31" s="705">
        <f t="shared" si="12"/>
        <v>100</v>
      </c>
      <c r="X31" s="1350"/>
      <c r="Y31" s="3840"/>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61" t="s">
        <v>1680</v>
      </c>
      <c r="Q32" s="1347">
        <f t="shared" si="8"/>
        <v>111</v>
      </c>
      <c r="R32" s="704" t="s">
        <v>14</v>
      </c>
      <c r="S32" s="705">
        <f t="shared" si="10"/>
        <v>100</v>
      </c>
      <c r="T32" s="704" t="s">
        <v>14</v>
      </c>
      <c r="U32" s="705">
        <f t="shared" si="11"/>
        <v>100</v>
      </c>
      <c r="V32" s="704" t="s">
        <v>14</v>
      </c>
      <c r="W32" s="705">
        <f t="shared" si="12"/>
        <v>100</v>
      </c>
      <c r="X32" s="1350"/>
      <c r="Y32" s="3844"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44"/>
      <c r="Q33" s="1347">
        <f t="shared" si="8"/>
        <v>111</v>
      </c>
      <c r="R33" s="707" t="s">
        <v>14</v>
      </c>
      <c r="S33" s="708">
        <f t="shared" si="10"/>
        <v>100</v>
      </c>
      <c r="T33" s="707" t="s">
        <v>14</v>
      </c>
      <c r="U33" s="708">
        <f t="shared" si="11"/>
        <v>100</v>
      </c>
      <c r="V33" s="707" t="s">
        <v>14</v>
      </c>
      <c r="W33" s="708">
        <f t="shared" si="12"/>
        <v>100</v>
      </c>
      <c r="X33" s="709"/>
      <c r="Y33" s="3844"/>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44"/>
      <c r="Q34" s="1347" t="str">
        <f>B34</f>
        <v>宗地面积</v>
      </c>
      <c r="R34" s="704" t="s">
        <v>14</v>
      </c>
      <c r="S34" s="705" t="e">
        <f t="shared" si="10"/>
        <v>#N/A</v>
      </c>
      <c r="T34" s="704" t="s">
        <v>14</v>
      </c>
      <c r="U34" s="705" t="e">
        <f t="shared" si="11"/>
        <v>#N/A</v>
      </c>
      <c r="V34" s="704" t="s">
        <v>14</v>
      </c>
      <c r="W34" s="705" t="e">
        <f t="shared" si="12"/>
        <v>#N/A</v>
      </c>
      <c r="X34" s="1350"/>
      <c r="Y34" s="3844"/>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44"/>
      <c r="Q35" s="1347" t="str">
        <f t="shared" ref="Q35:Q40" si="14">B35</f>
        <v>宗地形状</v>
      </c>
      <c r="R35" s="704" t="s">
        <v>14</v>
      </c>
      <c r="S35" s="705">
        <f t="shared" si="10"/>
        <v>100</v>
      </c>
      <c r="T35" s="704" t="s">
        <v>14</v>
      </c>
      <c r="U35" s="705">
        <f t="shared" si="11"/>
        <v>100</v>
      </c>
      <c r="V35" s="704" t="s">
        <v>14</v>
      </c>
      <c r="W35" s="705">
        <f t="shared" si="12"/>
        <v>100</v>
      </c>
      <c r="X35" s="1350"/>
      <c r="Y35" s="3844"/>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44"/>
      <c r="Q36" s="1347" t="str">
        <f t="shared" si="14"/>
        <v>宗地开发程度</v>
      </c>
      <c r="R36" s="700" t="s">
        <v>14</v>
      </c>
      <c r="S36" s="701">
        <f t="shared" si="10"/>
        <v>100</v>
      </c>
      <c r="T36" s="700" t="s">
        <v>14</v>
      </c>
      <c r="U36" s="701">
        <f t="shared" si="11"/>
        <v>100</v>
      </c>
      <c r="V36" s="700" t="s">
        <v>14</v>
      </c>
      <c r="W36" s="701">
        <f t="shared" si="12"/>
        <v>100</v>
      </c>
      <c r="X36" s="702"/>
      <c r="Y36" s="3844"/>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44" t="s">
        <v>1680</v>
      </c>
      <c r="Q37" s="1347" t="str">
        <f t="shared" si="14"/>
        <v>工程地质条件</v>
      </c>
      <c r="R37" s="704" t="s">
        <v>14</v>
      </c>
      <c r="S37" s="705">
        <f t="shared" si="10"/>
        <v>100</v>
      </c>
      <c r="T37" s="704" t="s">
        <v>14</v>
      </c>
      <c r="U37" s="705">
        <f t="shared" si="11"/>
        <v>100</v>
      </c>
      <c r="V37" s="704" t="s">
        <v>14</v>
      </c>
      <c r="W37" s="705">
        <f t="shared" si="12"/>
        <v>100</v>
      </c>
      <c r="X37" s="1350"/>
      <c r="Y37" s="3844"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44"/>
      <c r="Q38" s="1347">
        <f t="shared" si="14"/>
        <v>111</v>
      </c>
      <c r="R38" s="704" t="s">
        <v>14</v>
      </c>
      <c r="S38" s="705">
        <f t="shared" si="10"/>
        <v>100</v>
      </c>
      <c r="T38" s="704" t="s">
        <v>14</v>
      </c>
      <c r="U38" s="705">
        <f t="shared" si="11"/>
        <v>100</v>
      </c>
      <c r="V38" s="704" t="s">
        <v>14</v>
      </c>
      <c r="W38" s="705">
        <f t="shared" si="12"/>
        <v>100</v>
      </c>
      <c r="X38" s="1350"/>
      <c r="Y38" s="3844"/>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44"/>
      <c r="Q39" s="1347">
        <f t="shared" si="14"/>
        <v>111</v>
      </c>
      <c r="R39" s="704" t="s">
        <v>14</v>
      </c>
      <c r="S39" s="705">
        <f t="shared" si="10"/>
        <v>100</v>
      </c>
      <c r="T39" s="704" t="s">
        <v>14</v>
      </c>
      <c r="U39" s="705">
        <f t="shared" si="11"/>
        <v>100</v>
      </c>
      <c r="V39" s="704" t="s">
        <v>14</v>
      </c>
      <c r="W39" s="705">
        <f t="shared" si="12"/>
        <v>100</v>
      </c>
      <c r="X39" s="1350"/>
      <c r="Y39" s="3844"/>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44"/>
      <c r="Q40" s="1347">
        <f t="shared" si="14"/>
        <v>111</v>
      </c>
      <c r="R40" s="707" t="s">
        <v>14</v>
      </c>
      <c r="S40" s="708">
        <f t="shared" si="10"/>
        <v>100</v>
      </c>
      <c r="T40" s="707" t="s">
        <v>14</v>
      </c>
      <c r="U40" s="708">
        <f t="shared" si="11"/>
        <v>100</v>
      </c>
      <c r="V40" s="707" t="s">
        <v>14</v>
      </c>
      <c r="W40" s="708">
        <f t="shared" si="12"/>
        <v>100</v>
      </c>
      <c r="X40" s="709"/>
      <c r="Y40" s="3844"/>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46" t="str">
        <f>A41</f>
        <v>成交单价</v>
      </c>
      <c r="Q41" s="3846"/>
      <c r="R41" s="3833">
        <f>E41</f>
        <v>0</v>
      </c>
      <c r="S41" s="3833"/>
      <c r="T41" s="3833">
        <f>G41</f>
        <v>0</v>
      </c>
      <c r="U41" s="3833"/>
      <c r="V41" s="3833">
        <f>I41</f>
        <v>0</v>
      </c>
      <c r="W41" s="3833"/>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46" t="str">
        <f>A42</f>
        <v>比较价值（元/平方米）</v>
      </c>
      <c r="Q42" s="3846"/>
      <c r="R42" s="3864" t="e">
        <f>ROUND(PRODUCT(R41,AA7:AA40),0)</f>
        <v>#DIV/0!</v>
      </c>
      <c r="S42" s="3864"/>
      <c r="T42" s="3864" t="e">
        <f>ROUND(PRODUCT(T41,AB7:AB40),0)</f>
        <v>#DIV/0!</v>
      </c>
      <c r="U42" s="3864"/>
      <c r="V42" s="3864" t="e">
        <f>ROUND(PRODUCT(V41,AC7:AC40),0)</f>
        <v>#DIV/0!</v>
      </c>
      <c r="W42" s="3864"/>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58" t="str">
        <f>A43</f>
        <v>估价对象XX用房的比较价值（楼面单价，元/平方米）</v>
      </c>
      <c r="Q43" s="3859"/>
      <c r="R43" s="3863" t="e">
        <f>ROUND(IF(D42="简单平均",AVERAGE(R42:W42),R42*F42+T42*H42+V42*J42),0)</f>
        <v>#DIV/0!</v>
      </c>
      <c r="S43" s="3863"/>
      <c r="T43" s="3863"/>
      <c r="U43" s="3863"/>
      <c r="V43" s="3863"/>
      <c r="W43" s="3863"/>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20" t="s">
        <v>1871</v>
      </c>
      <c r="H50" s="3865"/>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16"/>
      <c r="H51" s="3846"/>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75" t="s">
        <v>694</v>
      </c>
      <c r="C6" s="1070" t="e">
        <f ca="1">ROUND(F6*F8*F7*(1-F9)/10000,0)</f>
        <v>#N/A</v>
      </c>
      <c r="D6" s="155" t="s">
        <v>2091</v>
      </c>
      <c r="E6" s="302" t="s">
        <v>696</v>
      </c>
      <c r="F6" s="303" t="e">
        <f ca="1">INDIRECT("'数据-取费表'!u"&amp;$G$1)</f>
        <v>#N/A</v>
      </c>
      <c r="G6" s="1379"/>
      <c r="H6" s="1065" t="s">
        <v>398</v>
      </c>
      <c r="I6" s="3775" t="s">
        <v>694</v>
      </c>
      <c r="J6" s="301" t="e">
        <f ca="1">ROUND(M6*M8*M7*(1-M9)/10000,0)</f>
        <v>#N/A</v>
      </c>
      <c r="K6" s="155" t="s">
        <v>2090</v>
      </c>
      <c r="L6" s="302" t="s">
        <v>696</v>
      </c>
      <c r="M6" s="303" t="e">
        <f ca="1">INDIRECT("'数据-取费表'!z"&amp;$G$1)</f>
        <v>#N/A</v>
      </c>
    </row>
    <row r="7" spans="1:37" ht="18" customHeight="1">
      <c r="A7" s="1069"/>
      <c r="B7" s="3776"/>
      <c r="C7" s="1071"/>
      <c r="D7" s="307"/>
      <c r="E7" s="3422" t="s">
        <v>697</v>
      </c>
      <c r="F7" s="303" t="e">
        <f ca="1">IF(INDIRECT("'数据-取费表'!ah"&amp;$G$1)="",INDIRECT("'数据-取费表'!k"&amp;$G$1),INDIRECT("'数据-取费表'!ah"&amp;$G$1))</f>
        <v>#N/A</v>
      </c>
      <c r="G7" s="1379"/>
      <c r="H7" s="304"/>
      <c r="I7" s="3776"/>
      <c r="J7" s="306"/>
      <c r="K7" s="307"/>
      <c r="L7" s="302" t="s">
        <v>697</v>
      </c>
      <c r="M7" s="303" t="e">
        <f ca="1">F7</f>
        <v>#N/A</v>
      </c>
    </row>
    <row r="8" spans="1:37" ht="18" customHeight="1">
      <c r="A8" s="304"/>
      <c r="B8" s="3776"/>
      <c r="C8" s="306"/>
      <c r="D8" s="307"/>
      <c r="E8" s="302" t="s">
        <v>698</v>
      </c>
      <c r="F8" s="303" t="e">
        <f ca="1">INDIRECT("'数据-取费表'!ai"&amp;$G$1)</f>
        <v>#N/A</v>
      </c>
      <c r="G8" s="1379"/>
      <c r="H8" s="304"/>
      <c r="I8" s="3776"/>
      <c r="J8" s="306"/>
      <c r="K8" s="307"/>
      <c r="L8" s="302" t="s">
        <v>698</v>
      </c>
      <c r="M8" s="303" t="e">
        <f ca="1">INDIRECT("'数据-取费表'!ai"&amp;$G$1)</f>
        <v>#N/A</v>
      </c>
    </row>
    <row r="9" spans="1:37" ht="18" customHeight="1">
      <c r="A9" s="304"/>
      <c r="B9" s="3777"/>
      <c r="C9" s="306"/>
      <c r="D9" s="307"/>
      <c r="E9" s="302" t="s">
        <v>699</v>
      </c>
      <c r="F9" s="312" t="e">
        <f ca="1">INDIRECT("'数据-取费表'!w"&amp;$G$1)</f>
        <v>#N/A</v>
      </c>
      <c r="G9" s="1379"/>
      <c r="H9" s="304"/>
      <c r="I9" s="3777"/>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1.4999999999999999E-2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1.4999999999999999E-2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78" t="s">
        <v>837</v>
      </c>
      <c r="L53" s="3779"/>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77" t="s">
        <v>2589</v>
      </c>
      <c r="B20" s="3870" t="s">
        <v>2610</v>
      </c>
      <c r="C20" s="3074" t="s">
        <v>2421</v>
      </c>
      <c r="D20" s="3075"/>
      <c r="E20" s="3076">
        <v>1</v>
      </c>
      <c r="F20" s="3077" t="s">
        <v>2422</v>
      </c>
      <c r="G20" s="3077"/>
    </row>
    <row r="21" spans="1:13" ht="19.5" customHeight="1">
      <c r="A21" s="3878"/>
      <c r="B21" s="3871"/>
      <c r="C21" s="3078" t="s">
        <v>2423</v>
      </c>
      <c r="D21" s="3079"/>
      <c r="E21" s="3080">
        <v>1</v>
      </c>
      <c r="F21" s="3077" t="s">
        <v>2424</v>
      </c>
      <c r="G21" s="3077"/>
    </row>
    <row r="22" spans="1:13" ht="19.5" customHeight="1">
      <c r="A22" s="3878"/>
      <c r="B22" s="3871"/>
      <c r="C22" s="3078" t="s">
        <v>2425</v>
      </c>
      <c r="D22" s="3079"/>
      <c r="E22" s="3080">
        <v>0.9</v>
      </c>
      <c r="F22" s="3077" t="s">
        <v>2426</v>
      </c>
      <c r="G22" s="3077"/>
    </row>
    <row r="23" spans="1:13" ht="19.5" customHeight="1">
      <c r="A23" s="3878"/>
      <c r="B23" s="3871"/>
      <c r="C23" s="3078" t="s">
        <v>2427</v>
      </c>
      <c r="D23" s="3079"/>
      <c r="E23" s="3080">
        <v>0.9</v>
      </c>
      <c r="F23" s="3077" t="s">
        <v>2428</v>
      </c>
      <c r="G23" s="3077"/>
    </row>
    <row r="24" spans="1:13" ht="19.5" customHeight="1">
      <c r="A24" s="3878"/>
      <c r="B24" s="3871"/>
      <c r="C24" s="3078" t="s">
        <v>2429</v>
      </c>
      <c r="D24" s="3079"/>
      <c r="E24" s="3080">
        <v>0.8</v>
      </c>
      <c r="F24" s="3077" t="s">
        <v>2430</v>
      </c>
      <c r="G24" s="3077"/>
    </row>
    <row r="25" spans="1:13" ht="19.5" customHeight="1" thickBot="1">
      <c r="A25" s="3879"/>
      <c r="B25" s="3872"/>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73" t="s">
        <v>2613</v>
      </c>
      <c r="B27" s="3870" t="s">
        <v>2594</v>
      </c>
      <c r="C27" s="3074" t="s">
        <v>2434</v>
      </c>
      <c r="D27" s="3075"/>
      <c r="E27" s="3076">
        <v>1</v>
      </c>
      <c r="F27" s="3077" t="s">
        <v>2435</v>
      </c>
      <c r="G27" s="3077"/>
    </row>
    <row r="28" spans="1:13" ht="19.5" customHeight="1">
      <c r="A28" s="3874"/>
      <c r="B28" s="3871"/>
      <c r="C28" s="3078" t="s">
        <v>2436</v>
      </c>
      <c r="D28" s="3079"/>
      <c r="E28" s="3080">
        <v>1</v>
      </c>
      <c r="F28" s="3077" t="s">
        <v>2437</v>
      </c>
      <c r="G28" s="3077"/>
    </row>
    <row r="29" spans="1:13" ht="19.5" customHeight="1">
      <c r="A29" s="3874"/>
      <c r="B29" s="3871"/>
      <c r="C29" s="3078" t="s">
        <v>2438</v>
      </c>
      <c r="D29" s="3079"/>
      <c r="E29" s="3080">
        <v>0.8</v>
      </c>
      <c r="F29" s="3077" t="s">
        <v>2439</v>
      </c>
      <c r="G29" s="3077"/>
    </row>
    <row r="30" spans="1:13" ht="19.5" customHeight="1">
      <c r="A30" s="3874"/>
      <c r="B30" s="3871"/>
      <c r="C30" s="3078" t="s">
        <v>2440</v>
      </c>
      <c r="D30" s="3079"/>
      <c r="E30" s="3080">
        <v>0.8</v>
      </c>
      <c r="F30" s="3077" t="s">
        <v>2441</v>
      </c>
      <c r="G30" s="3077"/>
    </row>
    <row r="31" spans="1:13" ht="19.5" customHeight="1">
      <c r="A31" s="3874"/>
      <c r="B31" s="3871"/>
      <c r="C31" s="3078" t="s">
        <v>2442</v>
      </c>
      <c r="D31" s="3079"/>
      <c r="E31" s="3080">
        <v>0.8</v>
      </c>
      <c r="F31" s="3077" t="s">
        <v>2443</v>
      </c>
      <c r="G31" s="3077"/>
    </row>
    <row r="32" spans="1:13" ht="19.5" customHeight="1">
      <c r="A32" s="3874"/>
      <c r="B32" s="3871"/>
      <c r="C32" s="3078" t="s">
        <v>2444</v>
      </c>
      <c r="D32" s="3079"/>
      <c r="E32" s="3080">
        <v>0.7</v>
      </c>
      <c r="F32" s="3077" t="s">
        <v>2445</v>
      </c>
      <c r="G32" s="3077"/>
    </row>
    <row r="33" spans="1:7" ht="19.5" customHeight="1">
      <c r="A33" s="3874"/>
      <c r="B33" s="3871"/>
      <c r="C33" s="3078" t="s">
        <v>2446</v>
      </c>
      <c r="D33" s="3079"/>
      <c r="E33" s="3080">
        <v>0.8</v>
      </c>
      <c r="F33" s="3077" t="s">
        <v>2447</v>
      </c>
      <c r="G33" s="3077"/>
    </row>
    <row r="34" spans="1:7" ht="19.5" customHeight="1">
      <c r="A34" s="3874"/>
      <c r="B34" s="3871"/>
      <c r="C34" s="3078" t="s">
        <v>2448</v>
      </c>
      <c r="D34" s="3079"/>
      <c r="E34" s="3080">
        <v>0.6</v>
      </c>
      <c r="F34" s="3077" t="s">
        <v>2449</v>
      </c>
      <c r="G34" s="3077"/>
    </row>
    <row r="35" spans="1:7" ht="19.5" customHeight="1">
      <c r="A35" s="3874"/>
      <c r="B35" s="3871"/>
      <c r="C35" s="3078" t="s">
        <v>2450</v>
      </c>
      <c r="D35" s="3079"/>
      <c r="E35" s="3080">
        <v>0.2</v>
      </c>
      <c r="F35" s="3077" t="s">
        <v>2451</v>
      </c>
      <c r="G35" s="3077"/>
    </row>
    <row r="36" spans="1:7" ht="19.5" customHeight="1">
      <c r="A36" s="3874"/>
      <c r="B36" s="3871"/>
      <c r="C36" s="3078" t="s">
        <v>2452</v>
      </c>
      <c r="D36" s="3079"/>
      <c r="E36" s="3080">
        <v>0.2</v>
      </c>
      <c r="F36" s="3077" t="s">
        <v>2453</v>
      </c>
      <c r="G36" s="3077"/>
    </row>
    <row r="37" spans="1:7" ht="19.5" customHeight="1">
      <c r="A37" s="3874"/>
      <c r="B37" s="3876" t="s">
        <v>2614</v>
      </c>
      <c r="C37" s="3078" t="s">
        <v>2454</v>
      </c>
      <c r="D37" s="3079"/>
      <c r="E37" s="3080">
        <v>0.6</v>
      </c>
      <c r="F37" s="3077" t="s">
        <v>2455</v>
      </c>
      <c r="G37" s="3077"/>
    </row>
    <row r="38" spans="1:7" ht="19.5" customHeight="1">
      <c r="A38" s="3874"/>
      <c r="B38" s="3871"/>
      <c r="C38" s="3078" t="s">
        <v>2456</v>
      </c>
      <c r="D38" s="3079"/>
      <c r="E38" s="3080">
        <v>0.6</v>
      </c>
      <c r="F38" s="3077" t="s">
        <v>2457</v>
      </c>
      <c r="G38" s="3077"/>
    </row>
    <row r="39" spans="1:7" ht="19.5" customHeight="1" thickBot="1">
      <c r="A39" s="3875"/>
      <c r="B39" s="3872"/>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77" t="s">
        <v>2592</v>
      </c>
      <c r="B41" s="3870" t="s">
        <v>2616</v>
      </c>
      <c r="C41" s="3074" t="s">
        <v>2461</v>
      </c>
      <c r="D41" s="3075"/>
      <c r="E41" s="3076">
        <v>1</v>
      </c>
      <c r="F41" s="3077" t="s">
        <v>2462</v>
      </c>
      <c r="G41" s="3077"/>
    </row>
    <row r="42" spans="1:7" ht="19.5" customHeight="1">
      <c r="A42" s="3878"/>
      <c r="B42" s="3871"/>
      <c r="C42" s="3078" t="s">
        <v>2463</v>
      </c>
      <c r="D42" s="3079"/>
      <c r="E42" s="3080">
        <v>1</v>
      </c>
      <c r="F42" s="3077" t="s">
        <v>2464</v>
      </c>
      <c r="G42" s="3077"/>
    </row>
    <row r="43" spans="1:7" ht="19.5" customHeight="1">
      <c r="A43" s="3878"/>
      <c r="B43" s="3880"/>
      <c r="C43" s="3078" t="s">
        <v>2465</v>
      </c>
      <c r="D43" s="3079"/>
      <c r="E43" s="3080">
        <v>1.5</v>
      </c>
      <c r="F43" s="3077" t="s">
        <v>2466</v>
      </c>
      <c r="G43" s="3077"/>
    </row>
    <row r="44" spans="1:7" ht="19.5" customHeight="1">
      <c r="A44" s="3878"/>
      <c r="B44" s="3089" t="s">
        <v>2617</v>
      </c>
      <c r="C44" s="3078" t="s">
        <v>2618</v>
      </c>
      <c r="D44" s="3079"/>
      <c r="E44" s="3080">
        <v>2</v>
      </c>
      <c r="F44" s="3077" t="s">
        <v>2467</v>
      </c>
      <c r="G44" s="3077"/>
    </row>
    <row r="45" spans="1:7" ht="19.5" customHeight="1">
      <c r="A45" s="3878"/>
      <c r="B45" s="3876" t="s">
        <v>2619</v>
      </c>
      <c r="C45" s="3078" t="s">
        <v>2468</v>
      </c>
      <c r="D45" s="3079"/>
      <c r="E45" s="3080">
        <v>1</v>
      </c>
      <c r="F45" s="3077" t="s">
        <v>2469</v>
      </c>
      <c r="G45" s="3077"/>
    </row>
    <row r="46" spans="1:7" ht="19.5" customHeight="1">
      <c r="A46" s="3878"/>
      <c r="B46" s="3871"/>
      <c r="C46" s="3078" t="s">
        <v>2470</v>
      </c>
      <c r="D46" s="3079"/>
      <c r="E46" s="3080">
        <v>1</v>
      </c>
      <c r="F46" s="3077" t="s">
        <v>2471</v>
      </c>
      <c r="G46" s="3077"/>
    </row>
    <row r="47" spans="1:7" ht="19.5" customHeight="1">
      <c r="A47" s="3878"/>
      <c r="B47" s="3871"/>
      <c r="C47" s="3078" t="s">
        <v>2472</v>
      </c>
      <c r="D47" s="3079"/>
      <c r="E47" s="3080">
        <v>1</v>
      </c>
      <c r="F47" s="3077" t="s">
        <v>2473</v>
      </c>
      <c r="G47" s="3077"/>
    </row>
    <row r="48" spans="1:7" ht="19.5" customHeight="1">
      <c r="A48" s="3878"/>
      <c r="B48" s="3871"/>
      <c r="C48" s="3078" t="s">
        <v>2474</v>
      </c>
      <c r="D48" s="3079"/>
      <c r="E48" s="3080">
        <v>1</v>
      </c>
      <c r="F48" s="3077" t="s">
        <v>2475</v>
      </c>
      <c r="G48" s="3077"/>
    </row>
    <row r="49" spans="1:7" ht="19.5" customHeight="1">
      <c r="A49" s="3878"/>
      <c r="B49" s="3871"/>
      <c r="C49" s="3078" t="s">
        <v>2476</v>
      </c>
      <c r="D49" s="3079"/>
      <c r="E49" s="3080">
        <v>1</v>
      </c>
      <c r="F49" s="3077" t="s">
        <v>2477</v>
      </c>
      <c r="G49" s="3077"/>
    </row>
    <row r="50" spans="1:7" ht="19.5" customHeight="1">
      <c r="A50" s="3878"/>
      <c r="B50" s="3871"/>
      <c r="C50" s="3078" t="s">
        <v>2478</v>
      </c>
      <c r="D50" s="3079"/>
      <c r="E50" s="3080">
        <v>1</v>
      </c>
      <c r="F50" s="3077" t="s">
        <v>2479</v>
      </c>
      <c r="G50" s="3077"/>
    </row>
    <row r="51" spans="1:7" ht="19.5" customHeight="1" thickBot="1">
      <c r="A51" s="3879"/>
      <c r="B51" s="3872"/>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76" t="s">
        <v>2633</v>
      </c>
      <c r="C73" s="3063" t="s">
        <v>2634</v>
      </c>
      <c r="D73" s="3063" t="s">
        <v>2635</v>
      </c>
      <c r="E73" s="3089">
        <v>0.2</v>
      </c>
      <c r="F73" s="3089">
        <v>25</v>
      </c>
    </row>
    <row r="74" spans="1:7" ht="24">
      <c r="A74" s="3089">
        <v>2</v>
      </c>
      <c r="B74" s="3871"/>
      <c r="C74" s="3063" t="s">
        <v>2636</v>
      </c>
      <c r="D74" s="3063" t="s">
        <v>2637</v>
      </c>
      <c r="E74" s="3089">
        <v>0.2</v>
      </c>
      <c r="F74" s="3089">
        <v>25</v>
      </c>
    </row>
    <row r="75" spans="1:7" ht="24">
      <c r="A75" s="3089">
        <v>3</v>
      </c>
      <c r="B75" s="3871"/>
      <c r="C75" s="3063" t="s">
        <v>2638</v>
      </c>
      <c r="D75" s="3063" t="s">
        <v>2639</v>
      </c>
      <c r="E75" s="3089">
        <v>0.2</v>
      </c>
      <c r="F75" s="3089">
        <v>25</v>
      </c>
    </row>
    <row r="76" spans="1:7" ht="13.5">
      <c r="A76" s="3089">
        <v>4</v>
      </c>
      <c r="B76" s="3871"/>
      <c r="C76" s="3063" t="s">
        <v>2640</v>
      </c>
      <c r="D76" s="3063" t="s">
        <v>2641</v>
      </c>
      <c r="E76" s="3089">
        <v>0.15</v>
      </c>
      <c r="F76" s="3089">
        <v>20</v>
      </c>
    </row>
    <row r="77" spans="1:7" ht="24">
      <c r="A77" s="3089">
        <v>5</v>
      </c>
      <c r="B77" s="3871"/>
      <c r="C77" s="3063" t="s">
        <v>2642</v>
      </c>
      <c r="D77" s="3063" t="s">
        <v>2643</v>
      </c>
      <c r="E77" s="3089">
        <v>0.15</v>
      </c>
      <c r="F77" s="3089">
        <v>20</v>
      </c>
    </row>
    <row r="78" spans="1:7" ht="24">
      <c r="A78" s="3089">
        <v>6</v>
      </c>
      <c r="B78" s="3871"/>
      <c r="C78" s="3063" t="s">
        <v>2644</v>
      </c>
      <c r="D78" s="3063" t="s">
        <v>2645</v>
      </c>
      <c r="E78" s="3089">
        <v>0.15</v>
      </c>
      <c r="F78" s="3089">
        <v>20</v>
      </c>
    </row>
    <row r="79" spans="1:7" ht="24">
      <c r="A79" s="3089">
        <v>7</v>
      </c>
      <c r="B79" s="3871"/>
      <c r="C79" s="3063" t="s">
        <v>2646</v>
      </c>
      <c r="D79" s="3063" t="s">
        <v>2647</v>
      </c>
      <c r="E79" s="3089">
        <v>0.15</v>
      </c>
      <c r="F79" s="3089">
        <v>20</v>
      </c>
    </row>
    <row r="80" spans="1:7" ht="24">
      <c r="A80" s="3089">
        <v>8</v>
      </c>
      <c r="B80" s="3871"/>
      <c r="C80" s="3063" t="s">
        <v>2648</v>
      </c>
      <c r="D80" s="3063" t="s">
        <v>2649</v>
      </c>
      <c r="E80" s="3089">
        <v>0.1</v>
      </c>
      <c r="F80" s="3089">
        <v>15</v>
      </c>
    </row>
    <row r="81" spans="1:6" ht="24">
      <c r="A81" s="3089">
        <v>9</v>
      </c>
      <c r="B81" s="3871"/>
      <c r="C81" s="3063" t="s">
        <v>2650</v>
      </c>
      <c r="D81" s="3063" t="s">
        <v>2651</v>
      </c>
      <c r="E81" s="3089">
        <v>0.1</v>
      </c>
      <c r="F81" s="3089">
        <v>15</v>
      </c>
    </row>
    <row r="82" spans="1:6" ht="24">
      <c r="A82" s="3089">
        <v>10</v>
      </c>
      <c r="B82" s="3871"/>
      <c r="C82" s="3063" t="s">
        <v>2652</v>
      </c>
      <c r="D82" s="3063" t="s">
        <v>2653</v>
      </c>
      <c r="E82" s="3089">
        <v>0.1</v>
      </c>
      <c r="F82" s="3089">
        <v>15</v>
      </c>
    </row>
    <row r="83" spans="1:6" ht="24">
      <c r="A83" s="3089">
        <v>11</v>
      </c>
      <c r="B83" s="3871"/>
      <c r="C83" s="3063" t="s">
        <v>2654</v>
      </c>
      <c r="D83" s="3063" t="s">
        <v>2655</v>
      </c>
      <c r="E83" s="3089">
        <v>0.1</v>
      </c>
      <c r="F83" s="3089">
        <v>15</v>
      </c>
    </row>
    <row r="84" spans="1:6" ht="24">
      <c r="A84" s="3089">
        <v>12</v>
      </c>
      <c r="B84" s="3871"/>
      <c r="C84" s="3063" t="s">
        <v>2656</v>
      </c>
      <c r="D84" s="3063" t="s">
        <v>2657</v>
      </c>
      <c r="E84" s="3089">
        <v>0.1</v>
      </c>
      <c r="F84" s="3089">
        <v>15</v>
      </c>
    </row>
    <row r="85" spans="1:6" ht="13.5">
      <c r="A85" s="3089">
        <v>13</v>
      </c>
      <c r="B85" s="3871"/>
      <c r="C85" s="3063" t="s">
        <v>2658</v>
      </c>
      <c r="D85" s="3063" t="s">
        <v>2659</v>
      </c>
      <c r="E85" s="3089">
        <v>0.1</v>
      </c>
      <c r="F85" s="3089">
        <v>15</v>
      </c>
    </row>
    <row r="86" spans="1:6" ht="13.5">
      <c r="A86" s="3089">
        <v>14</v>
      </c>
      <c r="B86" s="3871"/>
      <c r="C86" s="3063" t="s">
        <v>2660</v>
      </c>
      <c r="D86" s="3063" t="s">
        <v>2661</v>
      </c>
      <c r="E86" s="3089">
        <v>0.1</v>
      </c>
      <c r="F86" s="3089">
        <v>15</v>
      </c>
    </row>
    <row r="87" spans="1:6" ht="13.5">
      <c r="A87" s="3089">
        <v>15</v>
      </c>
      <c r="B87" s="3871"/>
      <c r="C87" s="3063" t="s">
        <v>2662</v>
      </c>
      <c r="D87" s="3063" t="s">
        <v>2663</v>
      </c>
      <c r="E87" s="3089">
        <v>0.1</v>
      </c>
      <c r="F87" s="3089">
        <v>15</v>
      </c>
    </row>
    <row r="88" spans="1:6" ht="24">
      <c r="A88" s="3089">
        <v>16</v>
      </c>
      <c r="B88" s="3871"/>
      <c r="C88" s="3063" t="s">
        <v>2664</v>
      </c>
      <c r="D88" s="3063" t="s">
        <v>2665</v>
      </c>
      <c r="E88" s="3089">
        <v>0.1</v>
      </c>
      <c r="F88" s="3089">
        <v>15</v>
      </c>
    </row>
    <row r="89" spans="1:6" ht="24">
      <c r="A89" s="3089">
        <v>17</v>
      </c>
      <c r="B89" s="3880"/>
      <c r="C89" s="3063" t="s">
        <v>2666</v>
      </c>
      <c r="D89" s="3063" t="s">
        <v>2667</v>
      </c>
      <c r="E89" s="3089">
        <v>0.1</v>
      </c>
      <c r="F89" s="3089">
        <v>15</v>
      </c>
    </row>
    <row r="90" spans="1:6" ht="13.5">
      <c r="A90" s="3089">
        <v>18</v>
      </c>
      <c r="B90" s="3876" t="s">
        <v>2668</v>
      </c>
      <c r="C90" s="3063" t="s">
        <v>2669</v>
      </c>
      <c r="D90" s="3063" t="s">
        <v>2670</v>
      </c>
      <c r="E90" s="3089">
        <v>0.2</v>
      </c>
      <c r="F90" s="3089">
        <v>25</v>
      </c>
    </row>
    <row r="91" spans="1:6" ht="24">
      <c r="A91" s="3089">
        <v>19</v>
      </c>
      <c r="B91" s="3871"/>
      <c r="C91" s="3063" t="s">
        <v>2671</v>
      </c>
      <c r="D91" s="3063" t="s">
        <v>2672</v>
      </c>
      <c r="E91" s="3089">
        <v>0.2</v>
      </c>
      <c r="F91" s="3089">
        <v>25</v>
      </c>
    </row>
    <row r="92" spans="1:6" ht="13.5">
      <c r="A92" s="3089">
        <v>20</v>
      </c>
      <c r="B92" s="3871"/>
      <c r="C92" s="3063" t="s">
        <v>2673</v>
      </c>
      <c r="D92" s="3063" t="s">
        <v>2674</v>
      </c>
      <c r="E92" s="3089">
        <v>0.15</v>
      </c>
      <c r="F92" s="3089">
        <v>20</v>
      </c>
    </row>
    <row r="93" spans="1:6" ht="13.5">
      <c r="A93" s="3089">
        <v>21</v>
      </c>
      <c r="B93" s="3871"/>
      <c r="C93" s="3063" t="s">
        <v>2675</v>
      </c>
      <c r="D93" s="3063" t="s">
        <v>2676</v>
      </c>
      <c r="E93" s="3089">
        <v>0.15</v>
      </c>
      <c r="F93" s="3089">
        <v>20</v>
      </c>
    </row>
    <row r="94" spans="1:6" ht="13.5">
      <c r="A94" s="3089">
        <v>22</v>
      </c>
      <c r="B94" s="3871"/>
      <c r="C94" s="3063" t="s">
        <v>2677</v>
      </c>
      <c r="D94" s="3063" t="s">
        <v>2678</v>
      </c>
      <c r="E94" s="3089">
        <v>0.15</v>
      </c>
      <c r="F94" s="3089">
        <v>20</v>
      </c>
    </row>
    <row r="95" spans="1:6" ht="36">
      <c r="A95" s="3089">
        <v>23</v>
      </c>
      <c r="B95" s="3871"/>
      <c r="C95" s="3063" t="s">
        <v>2679</v>
      </c>
      <c r="D95" s="3063" t="s">
        <v>2680</v>
      </c>
      <c r="E95" s="3089">
        <v>0.15</v>
      </c>
      <c r="F95" s="3089">
        <v>20</v>
      </c>
    </row>
    <row r="96" spans="1:6" ht="13.5">
      <c r="A96" s="3089">
        <v>24</v>
      </c>
      <c r="B96" s="3871"/>
      <c r="C96" s="3063" t="s">
        <v>2681</v>
      </c>
      <c r="D96" s="3063" t="s">
        <v>2682</v>
      </c>
      <c r="E96" s="3089">
        <v>0.1</v>
      </c>
      <c r="F96" s="3089">
        <v>15</v>
      </c>
    </row>
    <row r="97" spans="1:6" ht="13.5">
      <c r="A97" s="3089">
        <v>25</v>
      </c>
      <c r="B97" s="3871"/>
      <c r="C97" s="3063" t="s">
        <v>2683</v>
      </c>
      <c r="D97" s="3063" t="s">
        <v>2684</v>
      </c>
      <c r="E97" s="3089">
        <v>0.1</v>
      </c>
      <c r="F97" s="3089">
        <v>15</v>
      </c>
    </row>
    <row r="98" spans="1:6" ht="24">
      <c r="A98" s="3089">
        <v>26</v>
      </c>
      <c r="B98" s="3871"/>
      <c r="C98" s="3063" t="s">
        <v>2685</v>
      </c>
      <c r="D98" s="3063" t="s">
        <v>2686</v>
      </c>
      <c r="E98" s="3089">
        <v>0.1</v>
      </c>
      <c r="F98" s="3089">
        <v>15</v>
      </c>
    </row>
    <row r="99" spans="1:6" ht="24">
      <c r="A99" s="3089">
        <v>27</v>
      </c>
      <c r="B99" s="3871"/>
      <c r="C99" s="3063" t="s">
        <v>2687</v>
      </c>
      <c r="D99" s="3063" t="s">
        <v>2688</v>
      </c>
      <c r="E99" s="3089">
        <v>0.1</v>
      </c>
      <c r="F99" s="3089">
        <v>15</v>
      </c>
    </row>
    <row r="100" spans="1:6" ht="13.5">
      <c r="A100" s="3089">
        <v>28</v>
      </c>
      <c r="B100" s="3871"/>
      <c r="C100" s="3063" t="s">
        <v>2689</v>
      </c>
      <c r="D100" s="3063" t="s">
        <v>2690</v>
      </c>
      <c r="E100" s="3089">
        <v>0.1</v>
      </c>
      <c r="F100" s="3089">
        <v>15</v>
      </c>
    </row>
    <row r="101" spans="1:6" ht="13.5">
      <c r="A101" s="3089">
        <v>29</v>
      </c>
      <c r="B101" s="3871"/>
      <c r="C101" s="3063" t="s">
        <v>2691</v>
      </c>
      <c r="D101" s="3063" t="s">
        <v>2692</v>
      </c>
      <c r="E101" s="3089">
        <v>0.1</v>
      </c>
      <c r="F101" s="3089">
        <v>15</v>
      </c>
    </row>
    <row r="102" spans="1:6" ht="13.5">
      <c r="A102" s="3089">
        <v>30</v>
      </c>
      <c r="B102" s="3871"/>
      <c r="C102" s="3063" t="s">
        <v>2693</v>
      </c>
      <c r="D102" s="3063" t="s">
        <v>2694</v>
      </c>
      <c r="E102" s="3089">
        <v>0.1</v>
      </c>
      <c r="F102" s="3089">
        <v>15</v>
      </c>
    </row>
    <row r="103" spans="1:6" ht="24">
      <c r="A103" s="3089">
        <v>31</v>
      </c>
      <c r="B103" s="3871"/>
      <c r="C103" s="3063" t="s">
        <v>2695</v>
      </c>
      <c r="D103" s="3063" t="s">
        <v>2696</v>
      </c>
      <c r="E103" s="3089">
        <v>0.1</v>
      </c>
      <c r="F103" s="3089">
        <v>15</v>
      </c>
    </row>
    <row r="104" spans="1:6" ht="24">
      <c r="A104" s="3089">
        <v>32</v>
      </c>
      <c r="B104" s="3871"/>
      <c r="C104" s="3063" t="s">
        <v>2697</v>
      </c>
      <c r="D104" s="3063" t="s">
        <v>2698</v>
      </c>
      <c r="E104" s="3089">
        <v>0.1</v>
      </c>
      <c r="F104" s="3089">
        <v>15</v>
      </c>
    </row>
    <row r="105" spans="1:6" ht="24">
      <c r="A105" s="3089">
        <v>33</v>
      </c>
      <c r="B105" s="3871"/>
      <c r="C105" s="3063" t="s">
        <v>2699</v>
      </c>
      <c r="D105" s="3063" t="s">
        <v>2700</v>
      </c>
      <c r="E105" s="3089">
        <v>0.1</v>
      </c>
      <c r="F105" s="3089">
        <v>15</v>
      </c>
    </row>
    <row r="106" spans="1:6" ht="24">
      <c r="A106" s="3089">
        <v>34</v>
      </c>
      <c r="B106" s="3880"/>
      <c r="C106" s="3063" t="s">
        <v>2701</v>
      </c>
      <c r="D106" s="3063" t="s">
        <v>2702</v>
      </c>
      <c r="E106" s="3089">
        <v>0.1</v>
      </c>
      <c r="F106" s="3089">
        <v>15</v>
      </c>
    </row>
    <row r="107" spans="1:6" ht="24">
      <c r="A107" s="3089">
        <v>35</v>
      </c>
      <c r="B107" s="3876" t="s">
        <v>2703</v>
      </c>
      <c r="C107" s="3089" t="s">
        <v>2704</v>
      </c>
      <c r="D107" s="3063" t="s">
        <v>2705</v>
      </c>
      <c r="E107" s="3089">
        <v>0.15</v>
      </c>
      <c r="F107" s="3089">
        <v>20</v>
      </c>
    </row>
    <row r="108" spans="1:6" ht="13.5">
      <c r="A108" s="3089">
        <v>36</v>
      </c>
      <c r="B108" s="3871"/>
      <c r="C108" s="3089" t="s">
        <v>2706</v>
      </c>
      <c r="D108" s="3063" t="s">
        <v>2707</v>
      </c>
      <c r="E108" s="3089">
        <v>0.15</v>
      </c>
      <c r="F108" s="3089">
        <v>20</v>
      </c>
    </row>
    <row r="109" spans="1:6" ht="13.5">
      <c r="A109" s="3089">
        <v>37</v>
      </c>
      <c r="B109" s="3871"/>
      <c r="C109" s="3089" t="s">
        <v>2708</v>
      </c>
      <c r="D109" s="3063" t="s">
        <v>2709</v>
      </c>
      <c r="E109" s="3089">
        <v>0.15</v>
      </c>
      <c r="F109" s="3089">
        <v>20</v>
      </c>
    </row>
    <row r="110" spans="1:6" ht="13.5">
      <c r="A110" s="3089">
        <v>38</v>
      </c>
      <c r="B110" s="3871"/>
      <c r="C110" s="3089" t="s">
        <v>2710</v>
      </c>
      <c r="D110" s="3063" t="s">
        <v>2711</v>
      </c>
      <c r="E110" s="3089">
        <v>0.1</v>
      </c>
      <c r="F110" s="3089">
        <v>15</v>
      </c>
    </row>
    <row r="111" spans="1:6" ht="24">
      <c r="A111" s="3089">
        <v>39</v>
      </c>
      <c r="B111" s="3871"/>
      <c r="C111" s="3089" t="s">
        <v>2712</v>
      </c>
      <c r="D111" s="3063" t="s">
        <v>2713</v>
      </c>
      <c r="E111" s="3089">
        <v>0.1</v>
      </c>
      <c r="F111" s="3089">
        <v>15</v>
      </c>
    </row>
    <row r="112" spans="1:6" ht="24">
      <c r="A112" s="3089">
        <v>40</v>
      </c>
      <c r="B112" s="3880"/>
      <c r="C112" s="3089" t="s">
        <v>2714</v>
      </c>
      <c r="D112" s="3063" t="s">
        <v>2715</v>
      </c>
      <c r="E112" s="3089">
        <v>0.1</v>
      </c>
      <c r="F112" s="3089">
        <v>15</v>
      </c>
    </row>
    <row r="113" spans="1:6" ht="13.5">
      <c r="A113" s="3089">
        <v>41</v>
      </c>
      <c r="B113" s="3881" t="s">
        <v>2716</v>
      </c>
      <c r="C113" s="3089" t="s">
        <v>2717</v>
      </c>
      <c r="D113" s="3063" t="s">
        <v>2718</v>
      </c>
      <c r="E113" s="3089">
        <v>0.1</v>
      </c>
      <c r="F113" s="3089">
        <v>15</v>
      </c>
    </row>
    <row r="114" spans="1:6" ht="13.5">
      <c r="A114" s="3089">
        <v>42</v>
      </c>
      <c r="B114" s="3881"/>
      <c r="C114" s="3089" t="s">
        <v>2719</v>
      </c>
      <c r="D114" s="3063" t="s">
        <v>2720</v>
      </c>
      <c r="E114" s="3089">
        <v>0.1</v>
      </c>
      <c r="F114" s="3089">
        <v>15</v>
      </c>
    </row>
    <row r="115" spans="1:6" ht="24">
      <c r="A115" s="3089">
        <v>43</v>
      </c>
      <c r="B115" s="3881"/>
      <c r="C115" s="3089" t="s">
        <v>2721</v>
      </c>
      <c r="D115" s="3063" t="s">
        <v>2722</v>
      </c>
      <c r="E115" s="3089">
        <v>0.1</v>
      </c>
      <c r="F115" s="3089">
        <v>15</v>
      </c>
    </row>
    <row r="116" spans="1:6" ht="13.5">
      <c r="A116" s="3089">
        <v>44</v>
      </c>
      <c r="B116" s="3876" t="s">
        <v>2723</v>
      </c>
      <c r="C116" s="3089" t="s">
        <v>2724</v>
      </c>
      <c r="D116" s="3063" t="s">
        <v>2725</v>
      </c>
      <c r="E116" s="3089">
        <v>0.1</v>
      </c>
      <c r="F116" s="3089">
        <v>15</v>
      </c>
    </row>
    <row r="117" spans="1:6" ht="24">
      <c r="A117" s="3089">
        <v>45</v>
      </c>
      <c r="B117" s="3880"/>
      <c r="C117" s="3063" t="s">
        <v>2726</v>
      </c>
      <c r="D117" s="3063" t="s">
        <v>2727</v>
      </c>
      <c r="E117" s="3089">
        <v>0.1</v>
      </c>
      <c r="F117" s="3089">
        <v>15</v>
      </c>
    </row>
    <row r="118" spans="1:6" ht="24">
      <c r="A118" s="3089">
        <v>46</v>
      </c>
      <c r="B118" s="3876" t="s">
        <v>2728</v>
      </c>
      <c r="C118" s="3089" t="s">
        <v>2729</v>
      </c>
      <c r="D118" s="3063" t="s">
        <v>2730</v>
      </c>
      <c r="E118" s="3089">
        <v>0.1</v>
      </c>
      <c r="F118" s="3089">
        <v>15</v>
      </c>
    </row>
    <row r="119" spans="1:6" ht="24">
      <c r="A119" s="3089">
        <v>47</v>
      </c>
      <c r="B119" s="3880"/>
      <c r="C119" s="3089" t="s">
        <v>2731</v>
      </c>
      <c r="D119" s="3063" t="s">
        <v>2732</v>
      </c>
      <c r="E119" s="3089">
        <v>0.1</v>
      </c>
      <c r="F119" s="3089">
        <v>15</v>
      </c>
    </row>
    <row r="120" spans="1:6" ht="13.5">
      <c r="A120" s="3089">
        <v>48</v>
      </c>
      <c r="B120" s="3876" t="s">
        <v>2733</v>
      </c>
      <c r="C120" s="3089" t="s">
        <v>2734</v>
      </c>
      <c r="D120" s="3063" t="s">
        <v>2735</v>
      </c>
      <c r="E120" s="3089">
        <v>0.1</v>
      </c>
      <c r="F120" s="3089">
        <v>15</v>
      </c>
    </row>
    <row r="121" spans="1:6" ht="13.5">
      <c r="A121" s="3089">
        <v>49</v>
      </c>
      <c r="B121" s="3880"/>
      <c r="C121" s="3089" t="s">
        <v>2736</v>
      </c>
      <c r="D121" s="3063" t="s">
        <v>2737</v>
      </c>
      <c r="E121" s="3089">
        <v>0.1</v>
      </c>
      <c r="F121" s="3089">
        <v>15</v>
      </c>
    </row>
    <row r="122" spans="1:6" ht="24">
      <c r="A122" s="3089">
        <v>50</v>
      </c>
      <c r="B122" s="3881" t="s">
        <v>2738</v>
      </c>
      <c r="C122" s="3089" t="s">
        <v>2739</v>
      </c>
      <c r="D122" s="3063" t="s">
        <v>2740</v>
      </c>
      <c r="E122" s="3089">
        <v>0.1</v>
      </c>
      <c r="F122" s="3089">
        <v>15</v>
      </c>
    </row>
    <row r="123" spans="1:6" ht="24">
      <c r="A123" s="3089">
        <v>51</v>
      </c>
      <c r="B123" s="3881"/>
      <c r="C123" s="3089" t="s">
        <v>2741</v>
      </c>
      <c r="D123" s="3063" t="s">
        <v>2742</v>
      </c>
      <c r="E123" s="3089">
        <v>0.1</v>
      </c>
      <c r="F123" s="3089">
        <v>15</v>
      </c>
    </row>
    <row r="124" spans="1:6" ht="24">
      <c r="A124" s="3089">
        <v>52</v>
      </c>
      <c r="B124" s="3881" t="s">
        <v>2743</v>
      </c>
      <c r="C124" s="3089" t="s">
        <v>2744</v>
      </c>
      <c r="D124" s="3063" t="s">
        <v>2745</v>
      </c>
      <c r="E124" s="3089">
        <v>0.1</v>
      </c>
      <c r="F124" s="3089">
        <v>15</v>
      </c>
    </row>
    <row r="125" spans="1:6" ht="24">
      <c r="A125" s="3089">
        <v>53</v>
      </c>
      <c r="B125" s="3881"/>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81" t="s">
        <v>2751</v>
      </c>
      <c r="C127" s="3089" t="s">
        <v>2752</v>
      </c>
      <c r="D127" s="3063" t="s">
        <v>2753</v>
      </c>
      <c r="E127" s="3089">
        <v>0.1</v>
      </c>
      <c r="F127" s="3089">
        <v>15</v>
      </c>
    </row>
    <row r="128" spans="1:6" ht="13.5">
      <c r="A128" s="3089">
        <v>56</v>
      </c>
      <c r="B128" s="3881"/>
      <c r="C128" s="3089" t="s">
        <v>2754</v>
      </c>
      <c r="D128" s="3063" t="s">
        <v>2755</v>
      </c>
      <c r="E128" s="3089">
        <v>0.1</v>
      </c>
      <c r="F128" s="3089">
        <v>15</v>
      </c>
    </row>
    <row r="129" spans="1:6" ht="24">
      <c r="A129" s="3089">
        <v>57</v>
      </c>
      <c r="B129" s="3881"/>
      <c r="C129" s="3089" t="s">
        <v>2756</v>
      </c>
      <c r="D129" s="3063" t="s">
        <v>2757</v>
      </c>
      <c r="E129" s="3089">
        <v>0.1</v>
      </c>
      <c r="F129" s="3089">
        <v>15</v>
      </c>
    </row>
    <row r="130" spans="1:6" ht="24">
      <c r="A130" s="3089">
        <v>58</v>
      </c>
      <c r="B130" s="3881" t="s">
        <v>2758</v>
      </c>
      <c r="C130" s="3089" t="s">
        <v>2759</v>
      </c>
      <c r="D130" s="3063" t="s">
        <v>2760</v>
      </c>
      <c r="E130" s="3089">
        <v>0.1</v>
      </c>
      <c r="F130" s="3089">
        <v>15</v>
      </c>
    </row>
    <row r="131" spans="1:6" ht="13.5">
      <c r="A131" s="3089">
        <v>59</v>
      </c>
      <c r="B131" s="3881"/>
      <c r="C131" s="3089" t="s">
        <v>2761</v>
      </c>
      <c r="D131" s="3063" t="s">
        <v>2762</v>
      </c>
      <c r="E131" s="3089">
        <v>0.1</v>
      </c>
      <c r="F131" s="3089">
        <v>15</v>
      </c>
    </row>
    <row r="132" spans="1:6" ht="13.5">
      <c r="A132" s="3089">
        <v>60</v>
      </c>
      <c r="B132" s="3876" t="s">
        <v>2763</v>
      </c>
      <c r="C132" s="3089" t="s">
        <v>2764</v>
      </c>
      <c r="D132" s="3063" t="s">
        <v>2765</v>
      </c>
      <c r="E132" s="3089">
        <v>0.1</v>
      </c>
      <c r="F132" s="3089">
        <v>15</v>
      </c>
    </row>
    <row r="133" spans="1:6" ht="13.5">
      <c r="A133" s="3089">
        <v>61</v>
      </c>
      <c r="B133" s="3880"/>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81" t="s">
        <v>2771</v>
      </c>
      <c r="C135" s="3089" t="s">
        <v>2772</v>
      </c>
      <c r="D135" s="3063" t="s">
        <v>2773</v>
      </c>
      <c r="E135" s="3089">
        <v>0.1</v>
      </c>
      <c r="F135" s="3089">
        <v>15</v>
      </c>
    </row>
    <row r="136" spans="1:6" ht="13.5">
      <c r="A136" s="3089">
        <v>64</v>
      </c>
      <c r="B136" s="3881"/>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98535</v>
      </c>
      <c r="C2" s="2" t="s">
        <v>106</v>
      </c>
      <c r="D2" s="199"/>
      <c r="E2" s="199"/>
      <c r="F2" s="199"/>
      <c r="G2" s="199"/>
    </row>
    <row r="3" spans="1:7" s="200" customFormat="1" ht="18" customHeight="1" thickBot="1">
      <c r="A3" s="203" t="s">
        <v>58</v>
      </c>
      <c r="B3" s="204">
        <f ca="1">ROUND(B2*10000/'数据-汇总表'!E3,0)</f>
        <v>11678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334</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1577</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12</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2942</v>
      </c>
      <c r="D27" s="235">
        <f>C29</f>
        <v>2E-3</v>
      </c>
      <c r="E27" s="236" t="s">
        <v>99</v>
      </c>
      <c r="F27" s="246">
        <f>'数据-取费表'!Q16</f>
        <v>0.13</v>
      </c>
      <c r="G27" s="247" t="s">
        <v>431</v>
      </c>
    </row>
    <row r="28" spans="1:7" s="214" customFormat="1" ht="13.5" customHeight="1">
      <c r="A28" s="776" t="s">
        <v>349</v>
      </c>
      <c r="B28" s="248" t="s">
        <v>424</v>
      </c>
      <c r="C28" s="249">
        <f>ROUND((C5+C19+C20)*F27*'数据-取费表'!B21/'数据-取费表'!B20,0)</f>
        <v>2942</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834</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1947</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72" t="s">
        <v>94</v>
      </c>
    </row>
    <row r="43" spans="1:7" ht="13.5" customHeight="1">
      <c r="A43" s="776" t="s">
        <v>347</v>
      </c>
      <c r="B43" s="215" t="s">
        <v>426</v>
      </c>
      <c r="C43" s="238">
        <f ca="1">ROUND(IF('数据-取费表'!B22&lt;=1,C39*F22*'数据-取费表'!B21/2,C39*(POWER((1+F22),'数据-取费表'!B21/2)-1)),0)</f>
        <v>29</v>
      </c>
      <c r="D43" s="238"/>
      <c r="E43" s="238"/>
      <c r="F43" s="239"/>
      <c r="G43" s="3773"/>
    </row>
    <row r="44" spans="1:7" ht="13.5" customHeight="1">
      <c r="A44" s="776" t="s">
        <v>348</v>
      </c>
      <c r="B44" s="215" t="s">
        <v>428</v>
      </c>
      <c r="C44" s="238">
        <f ca="1">ROUND(IF('数据-取费表'!B22&lt;=1,C40*F22*'数据-取费表'!B21/2,C40*(POWER((1+F22),'数据-取费表'!B21/2)-1)),4)</f>
        <v>5.0000000000000001E-4</v>
      </c>
      <c r="D44" s="238"/>
      <c r="E44" s="238"/>
      <c r="F44" s="239"/>
      <c r="G44" s="3774"/>
    </row>
    <row r="45" spans="1:7" s="214" customFormat="1" ht="13.5" customHeight="1">
      <c r="A45" s="773" t="s">
        <v>341</v>
      </c>
      <c r="B45" s="244" t="s">
        <v>85</v>
      </c>
      <c r="C45" s="245">
        <f>C46</f>
        <v>7337</v>
      </c>
      <c r="D45" s="235">
        <f>C47</f>
        <v>2E-3</v>
      </c>
      <c r="E45" s="236" t="s">
        <v>102</v>
      </c>
      <c r="F45" s="246"/>
      <c r="G45" s="247" t="s">
        <v>434</v>
      </c>
    </row>
    <row r="46" spans="1:7" s="214" customFormat="1" ht="13.5" customHeight="1">
      <c r="A46" s="776" t="s">
        <v>349</v>
      </c>
      <c r="B46" s="248" t="s">
        <v>427</v>
      </c>
      <c r="C46" s="249">
        <f>ROUND((C33+C39)*F27,0)</f>
        <v>7337</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70730</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69315</v>
      </c>
      <c r="D51" s="232"/>
      <c r="E51" s="232"/>
      <c r="F51" s="264"/>
      <c r="G51" s="234" t="s">
        <v>37</v>
      </c>
    </row>
    <row r="52" spans="1:7" s="208" customFormat="1" ht="16.5" thickBot="1">
      <c r="A52" s="265" t="s">
        <v>38</v>
      </c>
      <c r="B52" s="266"/>
      <c r="C52" s="267">
        <f ca="1">C31+C51</f>
        <v>98535</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84" t="s">
        <v>2821</v>
      </c>
      <c r="B1" s="3884"/>
      <c r="C1" s="3884"/>
      <c r="D1" s="3884"/>
      <c r="E1" s="3884"/>
      <c r="F1" s="3884"/>
      <c r="G1" s="3885"/>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82"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83"/>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86" t="s">
        <v>3163</v>
      </c>
      <c r="B1" s="3886"/>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87" t="s">
        <v>3214</v>
      </c>
      <c r="B1" s="3887"/>
      <c r="C1" s="3887"/>
      <c r="D1" s="3887"/>
      <c r="E1" s="3887"/>
      <c r="F1" s="3888"/>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45491</v>
      </c>
      <c r="B1" s="3181" t="s">
        <v>3353</v>
      </c>
      <c r="C1" s="3182"/>
      <c r="D1" s="3182"/>
      <c r="E1" s="3182"/>
      <c r="F1" s="3182"/>
      <c r="G1" s="3182"/>
      <c r="H1" s="3182"/>
      <c r="I1" s="3182"/>
      <c r="J1" s="3136"/>
      <c r="K1" s="3182" t="s">
        <v>454</v>
      </c>
      <c r="L1" s="3182"/>
      <c r="M1" s="3182"/>
      <c r="N1" s="3182"/>
      <c r="O1" s="3182"/>
      <c r="P1" s="3182"/>
      <c r="Q1" s="3136"/>
      <c r="R1" s="3889" t="s">
        <v>456</v>
      </c>
      <c r="S1" s="3890"/>
      <c r="T1" s="3890"/>
      <c r="U1" s="3890"/>
      <c r="V1" s="3890"/>
      <c r="W1" s="3890"/>
      <c r="X1" s="3136"/>
      <c r="Y1" s="3889" t="s">
        <v>457</v>
      </c>
      <c r="Z1" s="3890"/>
      <c r="AA1" s="3890"/>
      <c r="AB1" s="3890"/>
      <c r="AC1" s="3890"/>
      <c r="AD1" s="3890"/>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89" t="s">
        <v>2809</v>
      </c>
      <c r="S23" s="3890"/>
      <c r="T23" s="3890"/>
      <c r="U23" s="3890"/>
      <c r="V23" s="3890"/>
      <c r="W23" s="3890"/>
      <c r="X23" s="3136"/>
      <c r="Y23" s="3889" t="s">
        <v>2810</v>
      </c>
      <c r="Z23" s="3890"/>
      <c r="AA23" s="3890"/>
      <c r="AB23" s="3890"/>
      <c r="AC23" s="3890"/>
      <c r="AD23" s="3890"/>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0"/>
      <c r="C2" s="3590"/>
      <c r="D2" s="3590"/>
      <c r="E2" s="3590"/>
    </row>
    <row r="3" spans="1:5" ht="18">
      <c r="A3" s="3591" t="str">
        <f>IF(项目基本情况!B9="房地产市场价值","估价结果一览表（市场价值不需“结果表-1”）","估价结果一览表")</f>
        <v>估价结果一览表（市场价值不需“结果表-1”）</v>
      </c>
      <c r="B3" s="3591"/>
      <c r="C3" s="3591"/>
      <c r="D3" s="3591"/>
      <c r="E3" s="3591"/>
    </row>
    <row r="4" spans="1:5" ht="19.5" thickBot="1">
      <c r="A4" s="1488"/>
      <c r="B4" s="3589" t="s">
        <v>917</v>
      </c>
      <c r="C4" s="3589"/>
      <c r="D4" s="3589"/>
      <c r="E4" s="1488"/>
    </row>
    <row r="5" spans="1:5" ht="16.5" thickTop="1">
      <c r="A5" s="1486"/>
      <c r="B5" s="3587" t="s">
        <v>909</v>
      </c>
      <c r="C5" s="1489" t="s">
        <v>910</v>
      </c>
      <c r="D5" s="846">
        <f ca="1">结果表!H101</f>
        <v>571879</v>
      </c>
      <c r="E5" s="1486"/>
    </row>
    <row r="6" spans="1:5" ht="15.75">
      <c r="A6" s="1486"/>
      <c r="B6" s="3587"/>
      <c r="C6" s="1489" t="s">
        <v>911</v>
      </c>
      <c r="D6" s="846" t="str">
        <f ca="1">NUMBERSTRING(INT(D5*10000),2)&amp;"元整"</f>
        <v>伍拾柒亿壹仟捌佰柒拾玖万元整</v>
      </c>
      <c r="E6" s="1486"/>
    </row>
    <row r="7" spans="1:5" ht="15.75">
      <c r="A7" s="1486"/>
      <c r="B7" s="3592"/>
      <c r="C7" s="1490" t="s">
        <v>912</v>
      </c>
      <c r="D7" s="847">
        <f ca="1">结果表!H102</f>
        <v>67780</v>
      </c>
      <c r="E7" s="1486"/>
    </row>
    <row r="8" spans="1:5" ht="15.75">
      <c r="A8" s="1486"/>
      <c r="B8" s="3593" t="str">
        <f>结果表!E103</f>
        <v>2.估价师知悉的法定优先受偿款</v>
      </c>
      <c r="C8" s="1491" t="s">
        <v>913</v>
      </c>
      <c r="D8" s="847">
        <f>结果表!H103</f>
        <v>0</v>
      </c>
      <c r="E8" s="1486"/>
    </row>
    <row r="9" spans="1:5" ht="15.75">
      <c r="A9" s="1486"/>
      <c r="B9" s="3595"/>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86" t="str">
        <f>结果表!E107</f>
        <v>3.房地产抵押价值</v>
      </c>
      <c r="C13" s="1494" t="s">
        <v>910</v>
      </c>
      <c r="D13" s="849">
        <f ca="1">结果表!H107</f>
        <v>571879</v>
      </c>
      <c r="E13" s="1486"/>
    </row>
    <row r="14" spans="1:5" ht="15.75">
      <c r="A14" s="1486"/>
      <c r="B14" s="3587"/>
      <c r="C14" s="1489" t="s">
        <v>911</v>
      </c>
      <c r="D14" s="846" t="str">
        <f ca="1">NUMBERSTRING(INT(D13*10000),2)&amp;"元整"</f>
        <v>伍拾柒亿壹仟捌佰柒拾玖万元整</v>
      </c>
      <c r="E14" s="1486"/>
    </row>
    <row r="15" spans="1:5" ht="15">
      <c r="A15" s="1486"/>
      <c r="B15" s="3592"/>
      <c r="C15" s="1490" t="s">
        <v>921</v>
      </c>
      <c r="D15" s="855">
        <f ca="1">结果表!H108</f>
        <v>67780</v>
      </c>
      <c r="E15" s="1486"/>
    </row>
    <row r="16" spans="1:5" ht="15">
      <c r="A16" s="1486"/>
      <c r="B16" s="3593" t="str">
        <f>结果表!E109</f>
        <v>——</v>
      </c>
      <c r="C16" s="1494" t="s">
        <v>922</v>
      </c>
      <c r="D16" s="1495" t="str">
        <f>结果表!H109</f>
        <v>——</v>
      </c>
      <c r="E16" s="1486"/>
    </row>
    <row r="17" spans="1:5" ht="15.75">
      <c r="A17" s="1486"/>
      <c r="B17" s="3594"/>
      <c r="C17" s="1489" t="s">
        <v>923</v>
      </c>
      <c r="D17" s="846" t="e">
        <f>NUMBERSTRING(INT(D16*10000),2)&amp;"元整"</f>
        <v>#VALUE!</v>
      </c>
      <c r="E17" s="1486"/>
    </row>
    <row r="18" spans="1:5" ht="15">
      <c r="A18" s="1486"/>
      <c r="B18" s="3595"/>
      <c r="C18" s="1490" t="s">
        <v>912</v>
      </c>
      <c r="D18" s="855" t="str">
        <f>结果表!H110</f>
        <v>——</v>
      </c>
      <c r="E18" s="1486"/>
    </row>
    <row r="19" spans="1:5" ht="15.75">
      <c r="A19" s="1486"/>
      <c r="B19" s="3586" t="str">
        <f>结果表!E111</f>
        <v>4.抵押净值</v>
      </c>
      <c r="C19" s="1494" t="s">
        <v>910</v>
      </c>
      <c r="D19" s="847">
        <f ca="1">结果表!H111</f>
        <v>513861</v>
      </c>
      <c r="E19" s="1486"/>
    </row>
    <row r="20" spans="1:5" ht="15.75">
      <c r="A20" s="1486"/>
      <c r="B20" s="3587"/>
      <c r="C20" s="1489" t="s">
        <v>923</v>
      </c>
      <c r="D20" s="846" t="str">
        <f ca="1">NUMBERSTRING(INT(D19*10000),2)&amp;"元整"</f>
        <v>伍拾壹亿叁仟捌佰陆拾壹万元整</v>
      </c>
      <c r="E20" s="1486"/>
    </row>
    <row r="21" spans="1:5" ht="15.75" thickBot="1">
      <c r="A21" s="1486"/>
      <c r="B21" s="3588"/>
      <c r="C21" s="1496" t="s">
        <v>921</v>
      </c>
      <c r="D21" s="856">
        <f ca="1">结果表!H112</f>
        <v>60903</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6" t="s">
        <v>452</v>
      </c>
      <c r="C1" s="3896"/>
      <c r="D1" s="3896"/>
      <c r="E1" s="3896"/>
      <c r="F1" s="3896"/>
      <c r="G1" s="3892" t="s">
        <v>453</v>
      </c>
      <c r="H1" s="3892"/>
      <c r="I1" s="3892"/>
      <c r="J1" s="3892"/>
      <c r="K1" s="3892"/>
      <c r="L1" s="3892"/>
      <c r="N1" s="3892" t="s">
        <v>454</v>
      </c>
      <c r="O1" s="3892"/>
      <c r="P1" s="3892"/>
      <c r="Q1" s="3892"/>
      <c r="S1" s="3892" t="s">
        <v>455</v>
      </c>
      <c r="T1" s="3892"/>
      <c r="U1" s="3892"/>
      <c r="V1" s="3892"/>
      <c r="X1" s="3891" t="s">
        <v>456</v>
      </c>
      <c r="Y1" s="3892"/>
      <c r="Z1" s="3892"/>
      <c r="AA1" s="3892"/>
      <c r="AB1" s="3892"/>
      <c r="AD1" s="3891" t="s">
        <v>457</v>
      </c>
      <c r="AE1" s="3892"/>
      <c r="AF1" s="3892"/>
      <c r="AG1" s="3892"/>
      <c r="AH1" s="389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9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9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9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0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9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9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9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0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9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9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9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9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9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9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9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9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9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9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9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9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9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0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9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9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9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9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9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9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9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9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9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9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9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9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9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9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9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9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9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9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9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9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9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9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9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9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9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9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9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9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9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9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9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9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9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9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9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9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9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9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9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9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9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9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9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9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45491</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25" zoomScaleNormal="70" zoomScaleSheetLayoutView="100" workbookViewId="0">
      <selection activeCell="L40" sqref="L40"/>
    </sheetView>
  </sheetViews>
  <sheetFormatPr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605849</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71806</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20" t="s">
        <v>1651</v>
      </c>
      <c r="D4" s="3821"/>
      <c r="E4" s="3822" t="s">
        <v>1652</v>
      </c>
      <c r="F4" s="3823"/>
      <c r="G4" s="3820" t="s">
        <v>1653</v>
      </c>
      <c r="H4" s="3821"/>
      <c r="I4" s="3820" t="s">
        <v>1654</v>
      </c>
      <c r="J4" s="3821"/>
      <c r="K4" s="559" t="s">
        <v>1655</v>
      </c>
      <c r="L4" s="2686"/>
      <c r="M4" s="2687"/>
      <c r="N4" s="2687"/>
      <c r="O4" s="2687"/>
      <c r="P4" s="3824" t="s">
        <v>1656</v>
      </c>
      <c r="Q4" s="3825"/>
      <c r="R4" s="3804" t="s">
        <v>1652</v>
      </c>
      <c r="S4" s="3805"/>
      <c r="T4" s="3804" t="s">
        <v>1653</v>
      </c>
      <c r="U4" s="3805"/>
      <c r="V4" s="3832" t="s">
        <v>1654</v>
      </c>
      <c r="W4" s="3832"/>
      <c r="X4" s="3487"/>
      <c r="Y4" s="3804" t="s">
        <v>1656</v>
      </c>
      <c r="Z4" s="3805"/>
      <c r="AA4" s="3799" t="s">
        <v>1652</v>
      </c>
      <c r="AB4" s="3799" t="s">
        <v>1653</v>
      </c>
      <c r="AC4" s="3817" t="s">
        <v>1654</v>
      </c>
    </row>
    <row r="5" spans="1:29" ht="15">
      <c r="A5" s="358"/>
      <c r="B5" s="359"/>
      <c r="C5" s="3810" t="s">
        <v>1657</v>
      </c>
      <c r="D5" s="3811"/>
      <c r="E5" s="3902" t="s">
        <v>4423</v>
      </c>
      <c r="F5" s="3809"/>
      <c r="G5" s="3834" t="s">
        <v>4424</v>
      </c>
      <c r="H5" s="3811"/>
      <c r="I5" s="3931" t="s">
        <v>4426</v>
      </c>
      <c r="J5" s="3930"/>
      <c r="K5" s="559"/>
      <c r="L5" s="2686"/>
      <c r="M5" s="2687"/>
      <c r="N5" s="2687"/>
      <c r="O5" s="2687"/>
      <c r="P5" s="3826"/>
      <c r="Q5" s="3827"/>
      <c r="R5" s="3806"/>
      <c r="S5" s="3807"/>
      <c r="T5" s="3806"/>
      <c r="U5" s="3807"/>
      <c r="V5" s="3833"/>
      <c r="W5" s="3833"/>
      <c r="X5" s="3488"/>
      <c r="Y5" s="3806"/>
      <c r="Z5" s="3807"/>
      <c r="AA5" s="3800"/>
      <c r="AB5" s="3800"/>
      <c r="AC5" s="3818"/>
    </row>
    <row r="6" spans="1:29" ht="15.75" thickBot="1">
      <c r="A6" s="360"/>
      <c r="B6" s="361"/>
      <c r="C6" s="3812" t="s">
        <v>1661</v>
      </c>
      <c r="D6" s="3813"/>
      <c r="E6" s="3814" t="s">
        <v>4341</v>
      </c>
      <c r="F6" s="3815"/>
      <c r="G6" s="3812" t="s">
        <v>4341</v>
      </c>
      <c r="H6" s="3813"/>
      <c r="I6" s="3812" t="s">
        <v>4341</v>
      </c>
      <c r="J6" s="3813"/>
      <c r="K6" s="559" t="s">
        <v>1662</v>
      </c>
      <c r="L6" s="2686"/>
      <c r="M6" s="2687"/>
      <c r="N6" s="2687"/>
      <c r="O6" s="2687"/>
      <c r="P6" s="3828"/>
      <c r="Q6" s="3829"/>
      <c r="R6" s="3806"/>
      <c r="S6" s="3807"/>
      <c r="T6" s="3830"/>
      <c r="U6" s="3831"/>
      <c r="V6" s="3833"/>
      <c r="W6" s="3833"/>
      <c r="X6" s="3488"/>
      <c r="Y6" s="3830"/>
      <c r="Z6" s="3831"/>
      <c r="AA6" s="3801"/>
      <c r="AB6" s="3801"/>
      <c r="AC6" s="3819"/>
    </row>
    <row r="7" spans="1:29" s="108" customFormat="1" ht="15.75" thickBot="1">
      <c r="A7" s="362" t="s">
        <v>1663</v>
      </c>
      <c r="B7" s="363"/>
      <c r="C7" s="364">
        <f>'数据-取费表'!B2</f>
        <v>45491</v>
      </c>
      <c r="D7" s="365">
        <v>100</v>
      </c>
      <c r="E7" s="366">
        <v>45286</v>
      </c>
      <c r="F7" s="367">
        <f>SUMIF(59:59,YEAR(E7)&amp;"-"&amp;MONTH(E7),60:60)</f>
        <v>100</v>
      </c>
      <c r="G7" s="366">
        <v>45393</v>
      </c>
      <c r="H7" s="365">
        <f>SUMIF(59:59,YEAR(G7)&amp;"-"&amp;MONTH(G7),60:60)</f>
        <v>100</v>
      </c>
      <c r="I7" s="3932">
        <v>44224</v>
      </c>
      <c r="J7" s="365">
        <f>SUMIF(59:59,YEAR(I7)&amp;"-"&amp;MONTH(I7),60:60)</f>
        <v>97</v>
      </c>
      <c r="K7" s="560"/>
      <c r="L7" s="2688"/>
      <c r="M7" s="2689"/>
      <c r="N7" s="2689"/>
      <c r="O7" s="2689"/>
      <c r="P7" s="3835" t="s">
        <v>1664</v>
      </c>
      <c r="Q7" s="3836"/>
      <c r="R7" s="700" t="s">
        <v>14</v>
      </c>
      <c r="S7" s="701">
        <f t="shared" ref="S7:S15" si="0">F7</f>
        <v>100</v>
      </c>
      <c r="T7" s="700" t="s">
        <v>14</v>
      </c>
      <c r="U7" s="701">
        <f t="shared" ref="U7:U15" si="1">H7</f>
        <v>100</v>
      </c>
      <c r="V7" s="700" t="s">
        <v>14</v>
      </c>
      <c r="W7" s="701">
        <f t="shared" ref="W7:W15" si="2">J7</f>
        <v>97</v>
      </c>
      <c r="X7" s="702"/>
      <c r="Y7" s="3802" t="s">
        <v>1664</v>
      </c>
      <c r="Z7" s="3803"/>
      <c r="AA7" s="703">
        <f>D7/F7</f>
        <v>1</v>
      </c>
      <c r="AB7" s="703">
        <f>D7/H7</f>
        <v>1</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933" t="s">
        <v>3391</v>
      </c>
      <c r="J8" s="365">
        <f>SUMIF(62:62,I8,63:63)-SUMIF(62:62,C8,63:63)+100</f>
        <v>100</v>
      </c>
      <c r="K8" s="560"/>
      <c r="L8" s="2688"/>
      <c r="M8" s="2689"/>
      <c r="N8" s="2689"/>
      <c r="O8" s="2689"/>
      <c r="P8" s="3835" t="s">
        <v>1667</v>
      </c>
      <c r="Q8" s="3803"/>
      <c r="R8" s="700" t="s">
        <v>14</v>
      </c>
      <c r="S8" s="701">
        <f t="shared" si="0"/>
        <v>100</v>
      </c>
      <c r="T8" s="700" t="s">
        <v>14</v>
      </c>
      <c r="U8" s="701">
        <f t="shared" si="1"/>
        <v>100</v>
      </c>
      <c r="V8" s="700" t="s">
        <v>14</v>
      </c>
      <c r="W8" s="701">
        <f t="shared" si="2"/>
        <v>100</v>
      </c>
      <c r="X8" s="702"/>
      <c r="Y8" s="3802" t="s">
        <v>1667</v>
      </c>
      <c r="Z8" s="3803"/>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95</v>
      </c>
      <c r="G9" s="373" t="s">
        <v>4315</v>
      </c>
      <c r="H9" s="126">
        <f>SUMIF(64:64,G9,65:65)-SUMIF(64:64,C9,65:65)+100</f>
        <v>100</v>
      </c>
      <c r="I9" s="3934" t="s">
        <v>4315</v>
      </c>
      <c r="J9" s="126">
        <f>SUMIF(64:64,I9,65:65)-SUMIF(64:64,C9,65:65)+100</f>
        <v>100</v>
      </c>
      <c r="K9" s="560"/>
      <c r="L9" s="2688"/>
      <c r="M9" s="2689"/>
      <c r="N9" s="2689"/>
      <c r="O9" s="2689"/>
      <c r="P9" s="3816" t="s">
        <v>1670</v>
      </c>
      <c r="Q9" s="3483" t="str">
        <f t="shared" ref="Q9:Q15" si="6">B9</f>
        <v>用途</v>
      </c>
      <c r="R9" s="700" t="s">
        <v>14</v>
      </c>
      <c r="S9" s="701">
        <f t="shared" si="0"/>
        <v>95</v>
      </c>
      <c r="T9" s="700" t="s">
        <v>14</v>
      </c>
      <c r="U9" s="701">
        <f t="shared" si="1"/>
        <v>100</v>
      </c>
      <c r="V9" s="700" t="s">
        <v>14</v>
      </c>
      <c r="W9" s="701">
        <f t="shared" si="2"/>
        <v>100</v>
      </c>
      <c r="X9" s="702"/>
      <c r="Y9" s="3748" t="s">
        <v>1671</v>
      </c>
      <c r="Z9" s="3482" t="str">
        <f t="shared" ref="Z9:Z15" si="7">Q9</f>
        <v>用途</v>
      </c>
      <c r="AA9" s="703">
        <f t="shared" si="3"/>
        <v>1.0526315789473684</v>
      </c>
      <c r="AB9" s="703">
        <f t="shared" si="4"/>
        <v>1</v>
      </c>
      <c r="AC9" s="1954">
        <f t="shared" si="5"/>
        <v>1</v>
      </c>
    </row>
    <row r="10" spans="1:29" s="378" customFormat="1" ht="27">
      <c r="A10" s="374"/>
      <c r="B10" s="375" t="s">
        <v>1672</v>
      </c>
      <c r="C10" s="3404" t="s">
        <v>3392</v>
      </c>
      <c r="D10" s="127">
        <v>100</v>
      </c>
      <c r="E10" s="3404" t="s">
        <v>4342</v>
      </c>
      <c r="F10" s="127">
        <f>SUMIF(66:66,E10,67:67)-SUMIF(66:66,C10,67:67)+100</f>
        <v>102</v>
      </c>
      <c r="G10" s="3404" t="s">
        <v>4342</v>
      </c>
      <c r="H10" s="127">
        <f>SUMIF(66:66,G10,67:67)-SUMIF(66:66,C10,67:67)+100</f>
        <v>102</v>
      </c>
      <c r="I10" s="3950" t="s">
        <v>4427</v>
      </c>
      <c r="J10" s="127">
        <f>SUMIF(66:66,I10,67:67)-SUMIF(66:66,C10,67:67)+100</f>
        <v>102</v>
      </c>
      <c r="K10" s="560"/>
      <c r="L10" s="2690"/>
      <c r="M10" s="2691"/>
      <c r="N10" s="2691"/>
      <c r="O10" s="2691"/>
      <c r="P10" s="3816"/>
      <c r="Q10" s="3483" t="str">
        <f t="shared" si="6"/>
        <v>土地使用年限（年）</v>
      </c>
      <c r="R10" s="700" t="s">
        <v>14</v>
      </c>
      <c r="S10" s="701">
        <f t="shared" si="0"/>
        <v>102</v>
      </c>
      <c r="T10" s="700" t="s">
        <v>14</v>
      </c>
      <c r="U10" s="701">
        <f t="shared" si="1"/>
        <v>102</v>
      </c>
      <c r="V10" s="700" t="s">
        <v>14</v>
      </c>
      <c r="W10" s="701">
        <f t="shared" si="2"/>
        <v>102</v>
      </c>
      <c r="X10" s="702"/>
      <c r="Y10" s="3748"/>
      <c r="Z10" s="3482" t="str">
        <f t="shared" si="7"/>
        <v>土地使用年限（年）</v>
      </c>
      <c r="AA10" s="703">
        <f t="shared" si="3"/>
        <v>0.98039215686274506</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935"/>
      <c r="J11" s="127">
        <f>LOOKUP(I11,69:69,70:70)-LOOKUP(C11,69:69,70:70)+100</f>
        <v>100</v>
      </c>
      <c r="K11" s="561"/>
      <c r="L11" s="2692"/>
      <c r="M11" s="2687"/>
      <c r="N11" s="2687"/>
      <c r="O11" s="2687"/>
      <c r="P11" s="3816"/>
      <c r="Q11" s="3483" t="str">
        <f t="shared" si="6"/>
        <v>容积率</v>
      </c>
      <c r="R11" s="700" t="s">
        <v>14</v>
      </c>
      <c r="S11" s="701">
        <f t="shared" si="0"/>
        <v>100</v>
      </c>
      <c r="T11" s="700" t="s">
        <v>14</v>
      </c>
      <c r="U11" s="701">
        <f t="shared" si="1"/>
        <v>100</v>
      </c>
      <c r="V11" s="700" t="s">
        <v>14</v>
      </c>
      <c r="W11" s="701">
        <f t="shared" si="2"/>
        <v>100</v>
      </c>
      <c r="X11" s="702"/>
      <c r="Y11" s="3748"/>
      <c r="Z11" s="3482" t="str">
        <f t="shared" si="7"/>
        <v>容积率</v>
      </c>
      <c r="AA11" s="703">
        <f t="shared" si="3"/>
        <v>1</v>
      </c>
      <c r="AB11" s="703">
        <f t="shared" si="4"/>
        <v>1</v>
      </c>
      <c r="AC11" s="1954">
        <f t="shared" si="5"/>
        <v>1</v>
      </c>
    </row>
    <row r="12" spans="1:29" s="108" customFormat="1" ht="15">
      <c r="A12" s="382"/>
      <c r="B12" s="3475" t="s">
        <v>4150</v>
      </c>
      <c r="C12" s="383"/>
      <c r="D12" s="384">
        <v>100</v>
      </c>
      <c r="E12" s="383">
        <v>2023</v>
      </c>
      <c r="F12" s="127">
        <f>SUMIF(71:71,E12,72:72)-SUMIF(71:71,C12,72:72)+100</f>
        <v>100</v>
      </c>
      <c r="G12" s="1955">
        <v>2024</v>
      </c>
      <c r="H12" s="127">
        <f>SUMIF(71:71,G12,72:72)-SUMIF(71:71,C12,72:72)+100</f>
        <v>100</v>
      </c>
      <c r="I12" s="3936">
        <v>2014</v>
      </c>
      <c r="J12" s="127">
        <f>SUMIF(71:71,I12,72:72)-SUMIF(71:71,C12,72:72)+100</f>
        <v>100</v>
      </c>
      <c r="K12" s="562"/>
      <c r="L12" s="2688"/>
      <c r="M12" s="2689"/>
      <c r="N12" s="2689"/>
      <c r="O12" s="2689"/>
      <c r="P12" s="3816"/>
      <c r="Q12" s="3483" t="str">
        <f t="shared" si="6"/>
        <v>建成</v>
      </c>
      <c r="R12" s="700" t="s">
        <v>14</v>
      </c>
      <c r="S12" s="701">
        <f t="shared" si="0"/>
        <v>100</v>
      </c>
      <c r="T12" s="700" t="s">
        <v>14</v>
      </c>
      <c r="U12" s="701">
        <f t="shared" si="1"/>
        <v>100</v>
      </c>
      <c r="V12" s="700" t="s">
        <v>14</v>
      </c>
      <c r="W12" s="701">
        <f t="shared" si="2"/>
        <v>100</v>
      </c>
      <c r="X12" s="702"/>
      <c r="Y12" s="3748"/>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936"/>
      <c r="J13" s="386">
        <f>SUMIF(73:73,I13,74:74)-SUMIF(73:73,C13,74:74)+100</f>
        <v>100</v>
      </c>
      <c r="K13" s="562"/>
      <c r="L13" s="2693"/>
      <c r="M13" s="2687"/>
      <c r="N13" s="2687"/>
      <c r="O13" s="2687"/>
      <c r="P13" s="3816"/>
      <c r="Q13" s="3483">
        <f t="shared" si="6"/>
        <v>111</v>
      </c>
      <c r="R13" s="700" t="s">
        <v>14</v>
      </c>
      <c r="S13" s="701">
        <f t="shared" si="0"/>
        <v>100</v>
      </c>
      <c r="T13" s="700" t="s">
        <v>14</v>
      </c>
      <c r="U13" s="701">
        <f t="shared" si="1"/>
        <v>100</v>
      </c>
      <c r="V13" s="700" t="s">
        <v>14</v>
      </c>
      <c r="W13" s="701">
        <f t="shared" si="2"/>
        <v>100</v>
      </c>
      <c r="X13" s="702"/>
      <c r="Y13" s="3748"/>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936"/>
      <c r="J14" s="389">
        <f>SUMIF(75:75,I14,76:76)-SUMIF(75:75,C14,76:76)+100</f>
        <v>100</v>
      </c>
      <c r="K14" s="562"/>
      <c r="L14" s="2693"/>
      <c r="M14" s="2687"/>
      <c r="N14" s="2687"/>
      <c r="O14" s="2687"/>
      <c r="P14" s="3816"/>
      <c r="Q14" s="3483">
        <f t="shared" si="6"/>
        <v>111</v>
      </c>
      <c r="R14" s="700" t="s">
        <v>14</v>
      </c>
      <c r="S14" s="701">
        <f t="shared" si="0"/>
        <v>100</v>
      </c>
      <c r="T14" s="700" t="s">
        <v>14</v>
      </c>
      <c r="U14" s="701">
        <f t="shared" si="1"/>
        <v>100</v>
      </c>
      <c r="V14" s="700" t="s">
        <v>14</v>
      </c>
      <c r="W14" s="701">
        <f t="shared" si="2"/>
        <v>100</v>
      </c>
      <c r="X14" s="702"/>
      <c r="Y14" s="3748"/>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3" t="s">
        <v>3399</v>
      </c>
      <c r="J15" s="392">
        <f>SUMIF(77:77,I16,78:78)-SUMIF(77:77,C16,78:78)+100</f>
        <v>95</v>
      </c>
      <c r="K15" s="563">
        <v>5</v>
      </c>
      <c r="L15" s="2693"/>
      <c r="M15" s="2687"/>
      <c r="N15" s="2687"/>
      <c r="O15" s="2687"/>
      <c r="P15" s="3837" t="s">
        <v>1675</v>
      </c>
      <c r="Q15" s="3484" t="str">
        <f t="shared" si="6"/>
        <v>办公集聚程度</v>
      </c>
      <c r="R15" s="704" t="s">
        <v>14</v>
      </c>
      <c r="S15" s="705">
        <f t="shared" si="0"/>
        <v>100</v>
      </c>
      <c r="T15" s="704" t="s">
        <v>14</v>
      </c>
      <c r="U15" s="705">
        <f t="shared" si="1"/>
        <v>100</v>
      </c>
      <c r="V15" s="704" t="s">
        <v>14</v>
      </c>
      <c r="W15" s="705">
        <f t="shared" si="2"/>
        <v>95</v>
      </c>
      <c r="X15" s="3488"/>
      <c r="Y15" s="3839"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938" t="s">
        <v>3399</v>
      </c>
      <c r="J16" s="399"/>
      <c r="K16" s="564"/>
      <c r="L16" s="2693"/>
      <c r="M16" s="2687"/>
      <c r="N16" s="2687"/>
      <c r="O16" s="2687"/>
      <c r="P16" s="3838"/>
      <c r="Q16" s="3484"/>
      <c r="R16" s="704"/>
      <c r="S16" s="705"/>
      <c r="T16" s="704"/>
      <c r="U16" s="705"/>
      <c r="V16" s="704"/>
      <c r="W16" s="705"/>
      <c r="X16" s="3488"/>
      <c r="Y16" s="3840"/>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3939" t="s">
        <v>3388</v>
      </c>
      <c r="J17" s="406">
        <f>SUMIF(79:79,I18,80:80)-SUMIF(79:79,C18,80:80)+100</f>
        <v>100</v>
      </c>
      <c r="K17" s="563">
        <v>2</v>
      </c>
      <c r="L17" s="2693"/>
      <c r="M17" s="2687"/>
      <c r="N17" s="2687"/>
      <c r="O17" s="2687"/>
      <c r="P17" s="3838"/>
      <c r="Q17" s="3484" t="str">
        <f>B17</f>
        <v>交通便捷度</v>
      </c>
      <c r="R17" s="704" t="s">
        <v>14</v>
      </c>
      <c r="S17" s="705">
        <f>F17</f>
        <v>100</v>
      </c>
      <c r="T17" s="704" t="s">
        <v>14</v>
      </c>
      <c r="U17" s="705">
        <f>H17</f>
        <v>100</v>
      </c>
      <c r="V17" s="704" t="s">
        <v>14</v>
      </c>
      <c r="W17" s="705">
        <f>J17</f>
        <v>100</v>
      </c>
      <c r="X17" s="3488"/>
      <c r="Y17" s="3840"/>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3948" t="s">
        <v>3388</v>
      </c>
      <c r="J18" s="399"/>
      <c r="K18" s="564"/>
      <c r="L18" s="2693"/>
      <c r="M18" s="2687"/>
      <c r="N18" s="2687"/>
      <c r="O18" s="2687"/>
      <c r="P18" s="3838"/>
      <c r="Q18" s="3484"/>
      <c r="R18" s="704"/>
      <c r="S18" s="705"/>
      <c r="T18" s="704"/>
      <c r="U18" s="705"/>
      <c r="V18" s="704"/>
      <c r="W18" s="705"/>
      <c r="X18" s="3488"/>
      <c r="Y18" s="3840"/>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3940" t="s">
        <v>3388</v>
      </c>
      <c r="J19" s="401">
        <f>SUMIF(81:81,I20,82:82)-SUMIF(81:81,C20,82:82)+100</f>
        <v>100</v>
      </c>
      <c r="K19" s="563">
        <v>5</v>
      </c>
      <c r="L19" s="2693"/>
      <c r="M19" s="2687"/>
      <c r="N19" s="2687"/>
      <c r="O19" s="2687"/>
      <c r="P19" s="3838"/>
      <c r="Q19" s="3484" t="str">
        <f>B19</f>
        <v>公共配套设施</v>
      </c>
      <c r="R19" s="704" t="s">
        <v>14</v>
      </c>
      <c r="S19" s="705">
        <f>F19</f>
        <v>100</v>
      </c>
      <c r="T19" s="704" t="s">
        <v>14</v>
      </c>
      <c r="U19" s="705">
        <f>H19</f>
        <v>100</v>
      </c>
      <c r="V19" s="704" t="s">
        <v>14</v>
      </c>
      <c r="W19" s="705">
        <f>J19</f>
        <v>100</v>
      </c>
      <c r="X19" s="3488"/>
      <c r="Y19" s="3840"/>
      <c r="Z19" s="3486" t="str">
        <f>Q19</f>
        <v>公共配套设施</v>
      </c>
      <c r="AA19" s="3485">
        <f t="shared" si="3"/>
        <v>1</v>
      </c>
      <c r="AB19" s="3485">
        <f t="shared" si="4"/>
        <v>1</v>
      </c>
      <c r="AC19" s="1957">
        <f t="shared" si="5"/>
        <v>1</v>
      </c>
    </row>
    <row r="20" spans="1:29" ht="15">
      <c r="A20" s="379"/>
      <c r="B20" s="580"/>
      <c r="C20" s="1899" t="s">
        <v>3388</v>
      </c>
      <c r="D20" s="399"/>
      <c r="E20" s="1899" t="s">
        <v>3388</v>
      </c>
      <c r="F20" s="399"/>
      <c r="G20" s="1899" t="s">
        <v>3388</v>
      </c>
      <c r="H20" s="399"/>
      <c r="I20" s="3946" t="s">
        <v>3388</v>
      </c>
      <c r="J20" s="399"/>
      <c r="K20" s="564"/>
      <c r="L20" s="2693"/>
      <c r="M20" s="2687"/>
      <c r="N20" s="2687"/>
      <c r="O20" s="2687"/>
      <c r="P20" s="3838"/>
      <c r="Q20" s="3484"/>
      <c r="R20" s="704"/>
      <c r="S20" s="705"/>
      <c r="T20" s="704"/>
      <c r="U20" s="705"/>
      <c r="V20" s="704"/>
      <c r="W20" s="705"/>
      <c r="X20" s="3488"/>
      <c r="Y20" s="3840"/>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3940" t="s">
        <v>3393</v>
      </c>
      <c r="J21" s="401">
        <f>SUMIF(83:83,I22,84:84)-SUMIF(83:83,C22,84:84)+100</f>
        <v>100</v>
      </c>
      <c r="K21" s="563">
        <v>2</v>
      </c>
      <c r="L21" s="2693"/>
      <c r="M21" s="2687"/>
      <c r="N21" s="2687"/>
      <c r="O21" s="2687"/>
      <c r="P21" s="3838"/>
      <c r="Q21" s="3484" t="str">
        <f>B21</f>
        <v>基础设施水平</v>
      </c>
      <c r="R21" s="704" t="s">
        <v>14</v>
      </c>
      <c r="S21" s="705">
        <f>F21</f>
        <v>100</v>
      </c>
      <c r="T21" s="704" t="s">
        <v>14</v>
      </c>
      <c r="U21" s="705">
        <f>H21</f>
        <v>100</v>
      </c>
      <c r="V21" s="704" t="s">
        <v>14</v>
      </c>
      <c r="W21" s="705">
        <f>J21</f>
        <v>100</v>
      </c>
      <c r="X21" s="3488"/>
      <c r="Y21" s="3840"/>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38" t="s">
        <v>3393</v>
      </c>
      <c r="J22" s="399"/>
      <c r="K22" s="1126"/>
      <c r="L22" s="2693"/>
      <c r="M22" s="2687"/>
      <c r="N22" s="2687"/>
      <c r="O22" s="2687"/>
      <c r="P22" s="3838"/>
      <c r="Q22" s="3484"/>
      <c r="R22" s="704"/>
      <c r="S22" s="705"/>
      <c r="T22" s="704"/>
      <c r="U22" s="705"/>
      <c r="V22" s="704"/>
      <c r="W22" s="705"/>
      <c r="X22" s="3488"/>
      <c r="Y22" s="3840"/>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100</v>
      </c>
      <c r="G23" s="405" t="s">
        <v>3388</v>
      </c>
      <c r="H23" s="401">
        <f>SUMIF(85:85,G24,86:86)-SUMIF(85:85,C24,86:86)+100</f>
        <v>100</v>
      </c>
      <c r="I23" s="3939" t="s">
        <v>3388</v>
      </c>
      <c r="J23" s="401">
        <f>SUMIF(85:85,I24,86:86)-SUMIF(85:85,C24,86:86)+100</f>
        <v>100</v>
      </c>
      <c r="K23" s="563">
        <v>5</v>
      </c>
      <c r="L23" s="2693"/>
      <c r="M23" s="2687"/>
      <c r="N23" s="2687"/>
      <c r="O23" s="2687"/>
      <c r="P23" s="3838"/>
      <c r="Q23" s="3484" t="str">
        <f>B23</f>
        <v>环境质量</v>
      </c>
      <c r="R23" s="704" t="s">
        <v>14</v>
      </c>
      <c r="S23" s="705">
        <f>F23</f>
        <v>100</v>
      </c>
      <c r="T23" s="704" t="s">
        <v>14</v>
      </c>
      <c r="U23" s="705">
        <f>H23</f>
        <v>100</v>
      </c>
      <c r="V23" s="704" t="s">
        <v>14</v>
      </c>
      <c r="W23" s="705">
        <f>J23</f>
        <v>100</v>
      </c>
      <c r="X23" s="3488"/>
      <c r="Y23" s="3840"/>
      <c r="Z23" s="3486" t="str">
        <f>Q23</f>
        <v>环境质量</v>
      </c>
      <c r="AA23" s="3485">
        <f t="shared" si="3"/>
        <v>1</v>
      </c>
      <c r="AB23" s="3485">
        <f t="shared" si="4"/>
        <v>1</v>
      </c>
      <c r="AC23" s="1957">
        <f t="shared" si="5"/>
        <v>1</v>
      </c>
    </row>
    <row r="24" spans="1:29" ht="15">
      <c r="A24" s="379"/>
      <c r="B24" s="581"/>
      <c r="C24" s="1899" t="s">
        <v>3388</v>
      </c>
      <c r="D24" s="399"/>
      <c r="E24" s="1899" t="s">
        <v>3388</v>
      </c>
      <c r="F24" s="399"/>
      <c r="G24" s="1899" t="s">
        <v>3388</v>
      </c>
      <c r="H24" s="399"/>
      <c r="I24" s="3945" t="s">
        <v>3388</v>
      </c>
      <c r="J24" s="399"/>
      <c r="K24" s="564"/>
      <c r="L24" s="2693"/>
      <c r="M24" s="2687"/>
      <c r="N24" s="2687"/>
      <c r="O24" s="2687"/>
      <c r="P24" s="3838"/>
      <c r="Q24" s="3484"/>
      <c r="R24" s="704"/>
      <c r="S24" s="705"/>
      <c r="T24" s="704"/>
      <c r="U24" s="705"/>
      <c r="V24" s="704"/>
      <c r="W24" s="705"/>
      <c r="X24" s="3488"/>
      <c r="Y24" s="3840"/>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937"/>
      <c r="J25" s="386">
        <f>SUMIF(87:87,I26,88:88)-SUMIF(87:87,C26,88:88)+100</f>
        <v>100</v>
      </c>
      <c r="K25" s="563"/>
      <c r="L25" s="2693"/>
      <c r="M25" s="2687"/>
      <c r="N25" s="2687"/>
      <c r="O25" s="2687"/>
      <c r="P25" s="3838"/>
      <c r="Q25" s="3484" t="str">
        <f>B25</f>
        <v>毗邻道路的类型与等级</v>
      </c>
      <c r="R25" s="704" t="s">
        <v>14</v>
      </c>
      <c r="S25" s="705">
        <f>F25</f>
        <v>100</v>
      </c>
      <c r="T25" s="704" t="s">
        <v>14</v>
      </c>
      <c r="U25" s="705">
        <f>H25</f>
        <v>100</v>
      </c>
      <c r="V25" s="704" t="s">
        <v>14</v>
      </c>
      <c r="W25" s="705">
        <f>J25</f>
        <v>100</v>
      </c>
      <c r="X25" s="3488"/>
      <c r="Y25" s="3840"/>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3943"/>
      <c r="J26" s="386"/>
      <c r="K26" s="564"/>
      <c r="L26" s="2693"/>
      <c r="M26" s="2687"/>
      <c r="N26" s="2687"/>
      <c r="O26" s="2687"/>
      <c r="P26" s="3838"/>
      <c r="Q26" s="3484"/>
      <c r="R26" s="704"/>
      <c r="S26" s="705"/>
      <c r="T26" s="704"/>
      <c r="U26" s="705"/>
      <c r="V26" s="704"/>
      <c r="W26" s="705"/>
      <c r="X26" s="3488"/>
      <c r="Y26" s="3840"/>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3943"/>
      <c r="J27" s="386">
        <f>SUMIF(89:89,I27,90:90)-SUMIF(89:89,C27,90:90)+100</f>
        <v>100</v>
      </c>
      <c r="K27" s="561"/>
      <c r="L27" s="2693"/>
      <c r="M27" s="2687"/>
      <c r="N27" s="2687"/>
      <c r="O27" s="2687"/>
      <c r="P27" s="3838"/>
      <c r="Q27" s="3484" t="str">
        <f t="shared" ref="Q27:Q47" si="11">B27</f>
        <v>楼层</v>
      </c>
      <c r="R27" s="704" t="s">
        <v>14</v>
      </c>
      <c r="S27" s="705">
        <f>F27</f>
        <v>100</v>
      </c>
      <c r="T27" s="704" t="s">
        <v>14</v>
      </c>
      <c r="U27" s="705">
        <f>H27</f>
        <v>100</v>
      </c>
      <c r="V27" s="704" t="s">
        <v>14</v>
      </c>
      <c r="W27" s="705">
        <f>J27</f>
        <v>100</v>
      </c>
      <c r="X27" s="3488"/>
      <c r="Y27" s="3840"/>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3947"/>
      <c r="J28" s="413">
        <f>SUMIF(91:91,I28,92:92)-SUMIF(91:91,C28,92:92)+100</f>
        <v>100</v>
      </c>
      <c r="K28" s="561"/>
      <c r="L28" s="2688"/>
      <c r="M28" s="2689"/>
      <c r="N28" s="2689"/>
      <c r="O28" s="2689"/>
      <c r="P28" s="3838"/>
      <c r="Q28" s="3483" t="str">
        <f t="shared" si="11"/>
        <v>朝向</v>
      </c>
      <c r="R28" s="700" t="s">
        <v>14</v>
      </c>
      <c r="S28" s="701">
        <f>F28</f>
        <v>100</v>
      </c>
      <c r="T28" s="700" t="s">
        <v>14</v>
      </c>
      <c r="U28" s="701">
        <f>H28</f>
        <v>100</v>
      </c>
      <c r="V28" s="700" t="s">
        <v>14</v>
      </c>
      <c r="W28" s="701">
        <f>J28</f>
        <v>100</v>
      </c>
      <c r="X28" s="702"/>
      <c r="Y28" s="3840"/>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951" t="s">
        <v>3388</v>
      </c>
      <c r="J29" s="386">
        <f>SUMIF(93:93,I29,94:94)-SUMIF(93:93,C29,94:94)+100</f>
        <v>100</v>
      </c>
      <c r="K29" s="562"/>
      <c r="L29" s="2693"/>
      <c r="M29" s="2687"/>
      <c r="N29" s="2687"/>
      <c r="O29" s="2687"/>
      <c r="P29" s="3838"/>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40"/>
      <c r="Z29" s="3486" t="str">
        <f t="shared" ref="Z29:Z47" si="15">Q29</f>
        <v>商业繁华度</v>
      </c>
      <c r="AA29" s="3485">
        <f t="shared" si="3"/>
        <v>1</v>
      </c>
      <c r="AB29" s="3485">
        <f t="shared" si="4"/>
        <v>1</v>
      </c>
      <c r="AC29" s="1957">
        <f t="shared" si="5"/>
        <v>1</v>
      </c>
    </row>
    <row r="30" spans="1:29" ht="15.75" hidden="1" customHeight="1" thickBot="1">
      <c r="A30" s="379"/>
      <c r="B30" s="1961">
        <v>111</v>
      </c>
      <c r="C30" s="1903"/>
      <c r="D30" s="386">
        <v>100</v>
      </c>
      <c r="E30" s="383"/>
      <c r="F30" s="386">
        <f>SUMIF(95:95,E30,96:96)-SUMIF(95:95,C30,96:96)+100</f>
        <v>100</v>
      </c>
      <c r="G30" s="1955"/>
      <c r="H30" s="386">
        <f>SUMIF(95:95,G30,96:96)-SUMIF(95:95,C30,96:96)+100</f>
        <v>100</v>
      </c>
      <c r="I30" s="3936"/>
      <c r="J30" s="386">
        <f>SUMIF(95:95,I30,96:96)-SUMIF(95:95,C30,96:96)+100</f>
        <v>100</v>
      </c>
      <c r="K30" s="562"/>
      <c r="L30" s="2693"/>
      <c r="M30" s="2687"/>
      <c r="N30" s="2687"/>
      <c r="O30" s="2687"/>
      <c r="P30" s="3838"/>
      <c r="Q30" s="3484">
        <f t="shared" si="11"/>
        <v>111</v>
      </c>
      <c r="R30" s="704" t="s">
        <v>14</v>
      </c>
      <c r="S30" s="705">
        <f t="shared" si="12"/>
        <v>100</v>
      </c>
      <c r="T30" s="704" t="s">
        <v>14</v>
      </c>
      <c r="U30" s="705">
        <f t="shared" si="13"/>
        <v>100</v>
      </c>
      <c r="V30" s="704" t="s">
        <v>14</v>
      </c>
      <c r="W30" s="705">
        <f t="shared" si="14"/>
        <v>100</v>
      </c>
      <c r="X30" s="3488"/>
      <c r="Y30" s="3840"/>
      <c r="Z30" s="3486">
        <f t="shared" si="15"/>
        <v>111</v>
      </c>
      <c r="AA30" s="3485">
        <f t="shared" si="3"/>
        <v>1</v>
      </c>
      <c r="AB30" s="3485">
        <f t="shared" si="4"/>
        <v>1</v>
      </c>
      <c r="AC30" s="1957">
        <f t="shared" si="5"/>
        <v>1</v>
      </c>
    </row>
    <row r="31" spans="1:29" ht="15.75" hidden="1" customHeight="1" thickBot="1">
      <c r="A31" s="379"/>
      <c r="B31" s="1961">
        <v>111</v>
      </c>
      <c r="C31" s="1903"/>
      <c r="D31" s="386">
        <v>100</v>
      </c>
      <c r="E31" s="383"/>
      <c r="F31" s="386">
        <f>SUMIF(97:97,E31,98:98)-SUMIF(97:97,C31,98:98)+100</f>
        <v>100</v>
      </c>
      <c r="G31" s="1955"/>
      <c r="H31" s="386">
        <f>SUMIF(97:97,G31,98:98)-SUMIF(97:97,C31,98:98)+100</f>
        <v>100</v>
      </c>
      <c r="I31" s="3936"/>
      <c r="J31" s="386">
        <f>SUMIF(97:97,I31,98:98)-SUMIF(97:97,C31,98:98)+100</f>
        <v>100</v>
      </c>
      <c r="K31" s="562"/>
      <c r="L31" s="2693"/>
      <c r="M31" s="2687"/>
      <c r="N31" s="2687"/>
      <c r="O31" s="2687"/>
      <c r="P31" s="3838"/>
      <c r="Q31" s="3484">
        <f t="shared" si="11"/>
        <v>111</v>
      </c>
      <c r="R31" s="704" t="s">
        <v>14</v>
      </c>
      <c r="S31" s="705">
        <f t="shared" si="12"/>
        <v>100</v>
      </c>
      <c r="T31" s="704" t="s">
        <v>14</v>
      </c>
      <c r="U31" s="705">
        <f t="shared" si="13"/>
        <v>100</v>
      </c>
      <c r="V31" s="704" t="s">
        <v>14</v>
      </c>
      <c r="W31" s="705">
        <f t="shared" si="14"/>
        <v>100</v>
      </c>
      <c r="X31" s="3488"/>
      <c r="Y31" s="3840"/>
      <c r="Z31" s="3486">
        <f t="shared" si="15"/>
        <v>111</v>
      </c>
      <c r="AA31" s="3485">
        <f t="shared" si="3"/>
        <v>1</v>
      </c>
      <c r="AB31" s="3485">
        <f t="shared" si="4"/>
        <v>1</v>
      </c>
      <c r="AC31" s="1957">
        <f t="shared" si="5"/>
        <v>1</v>
      </c>
    </row>
    <row r="32" spans="1:29" ht="15.75" hidden="1" customHeight="1" thickBot="1">
      <c r="A32" s="387"/>
      <c r="B32" s="583">
        <v>111</v>
      </c>
      <c r="C32" s="1904"/>
      <c r="D32" s="389">
        <v>100</v>
      </c>
      <c r="E32" s="576"/>
      <c r="F32" s="389">
        <f>SUMIF(99:99,E32,100:100)-SUMIF(99:99,C32,100:100)+100</f>
        <v>100</v>
      </c>
      <c r="G32" s="1955"/>
      <c r="H32" s="389">
        <f>SUMIF(99:99,G32,100:100)-SUMIF(99:99,C32,100:100)+100</f>
        <v>100</v>
      </c>
      <c r="I32" s="3936"/>
      <c r="J32" s="389">
        <f>SUMIF(99:99,I32,100:100)-SUMIF(99:99,C32,100:100)+100</f>
        <v>100</v>
      </c>
      <c r="K32" s="562"/>
      <c r="L32" s="2693"/>
      <c r="M32" s="2687"/>
      <c r="N32" s="2687"/>
      <c r="O32" s="2687"/>
      <c r="P32" s="3838"/>
      <c r="Q32" s="3484">
        <f t="shared" si="11"/>
        <v>111</v>
      </c>
      <c r="R32" s="704" t="s">
        <v>14</v>
      </c>
      <c r="S32" s="705">
        <f t="shared" si="12"/>
        <v>100</v>
      </c>
      <c r="T32" s="704" t="s">
        <v>14</v>
      </c>
      <c r="U32" s="705">
        <f t="shared" si="13"/>
        <v>100</v>
      </c>
      <c r="V32" s="704" t="s">
        <v>14</v>
      </c>
      <c r="W32" s="705">
        <f t="shared" si="14"/>
        <v>100</v>
      </c>
      <c r="X32" s="3488"/>
      <c r="Y32" s="3840"/>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3949"/>
      <c r="J33" s="418">
        <f>SUMIF(101:101,I33,102:102)-SUMIF(101:101,C33,102:102)+100</f>
        <v>100</v>
      </c>
      <c r="K33" s="561"/>
      <c r="L33" s="2693"/>
      <c r="M33" s="2687"/>
      <c r="N33" s="2687"/>
      <c r="O33" s="2687"/>
      <c r="P33" s="3841" t="s">
        <v>1680</v>
      </c>
      <c r="Q33" s="3484" t="str">
        <f t="shared" si="11"/>
        <v>建筑类型</v>
      </c>
      <c r="R33" s="704" t="s">
        <v>14</v>
      </c>
      <c r="S33" s="705">
        <f t="shared" si="12"/>
        <v>100</v>
      </c>
      <c r="T33" s="704" t="s">
        <v>14</v>
      </c>
      <c r="U33" s="705">
        <f t="shared" si="13"/>
        <v>100</v>
      </c>
      <c r="V33" s="704" t="s">
        <v>14</v>
      </c>
      <c r="W33" s="705">
        <f t="shared" si="14"/>
        <v>100</v>
      </c>
      <c r="X33" s="3488"/>
      <c r="Y33" s="3844"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v>22089.87</v>
      </c>
      <c r="F34" s="376">
        <f>LOOKUP(E34,104:104,105:105)-LOOKUP(C34,104:104,105:105)+100</f>
        <v>101</v>
      </c>
      <c r="G34" s="380">
        <v>65469.969999999987</v>
      </c>
      <c r="H34" s="127">
        <f>LOOKUP(G34,104:104,105:105)-LOOKUP(C34,104:104,105:105)+100</f>
        <v>100</v>
      </c>
      <c r="I34" s="3935">
        <v>14263.2</v>
      </c>
      <c r="J34" s="127">
        <f>LOOKUP(I34,104:104,105:105)-LOOKUP(C34,104:104,105:105)+100</f>
        <v>101</v>
      </c>
      <c r="K34" s="562"/>
      <c r="L34" s="2692"/>
      <c r="M34" s="2694"/>
      <c r="N34" s="2694"/>
      <c r="O34" s="2694"/>
      <c r="P34" s="3842"/>
      <c r="Q34" s="706" t="str">
        <f t="shared" si="11"/>
        <v>项目建筑规模</v>
      </c>
      <c r="R34" s="707" t="s">
        <v>14</v>
      </c>
      <c r="S34" s="708">
        <f t="shared" si="12"/>
        <v>101</v>
      </c>
      <c r="T34" s="707" t="s">
        <v>14</v>
      </c>
      <c r="U34" s="708">
        <f t="shared" si="13"/>
        <v>100</v>
      </c>
      <c r="V34" s="707" t="s">
        <v>14</v>
      </c>
      <c r="W34" s="708">
        <f t="shared" si="14"/>
        <v>101</v>
      </c>
      <c r="X34" s="709"/>
      <c r="Y34" s="3844"/>
      <c r="Z34" s="710" t="str">
        <f t="shared" si="15"/>
        <v>项目建筑规模</v>
      </c>
      <c r="AA34" s="3485">
        <f t="shared" si="3"/>
        <v>0.99009900990099009</v>
      </c>
      <c r="AB34" s="3485">
        <f t="shared" si="4"/>
        <v>1</v>
      </c>
      <c r="AC34" s="1957">
        <f t="shared" si="5"/>
        <v>0.99009900990099009</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3941" t="s">
        <v>3384</v>
      </c>
      <c r="J35" s="386">
        <f>SUMIF(106:106,I35,107:107)-SUMIF(106:106,C35,107:107)+100</f>
        <v>100</v>
      </c>
      <c r="K35" s="561">
        <v>2</v>
      </c>
      <c r="L35" s="2693"/>
      <c r="M35" s="2687"/>
      <c r="N35" s="2687"/>
      <c r="O35" s="2687"/>
      <c r="P35" s="3842"/>
      <c r="Q35" s="3484" t="str">
        <f t="shared" si="11"/>
        <v>建筑结构</v>
      </c>
      <c r="R35" s="704" t="s">
        <v>14</v>
      </c>
      <c r="S35" s="705">
        <f t="shared" si="12"/>
        <v>100</v>
      </c>
      <c r="T35" s="704" t="s">
        <v>14</v>
      </c>
      <c r="U35" s="705">
        <f t="shared" si="13"/>
        <v>100</v>
      </c>
      <c r="V35" s="704" t="s">
        <v>14</v>
      </c>
      <c r="W35" s="705">
        <f t="shared" si="14"/>
        <v>100</v>
      </c>
      <c r="X35" s="3488"/>
      <c r="Y35" s="3844"/>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3941" t="s">
        <v>4157</v>
      </c>
      <c r="J36" s="386">
        <f>SUMIF(108:108,I36,109:109)-SUMIF(108:108,C36,109:109)+100</f>
        <v>100</v>
      </c>
      <c r="K36" s="561">
        <v>2</v>
      </c>
      <c r="L36" s="2693"/>
      <c r="M36" s="2687"/>
      <c r="N36" s="2687"/>
      <c r="O36" s="2687"/>
      <c r="P36" s="3842"/>
      <c r="Q36" s="3484" t="str">
        <f t="shared" si="11"/>
        <v>公共部分装修</v>
      </c>
      <c r="R36" s="704" t="s">
        <v>14</v>
      </c>
      <c r="S36" s="705">
        <f t="shared" si="12"/>
        <v>100</v>
      </c>
      <c r="T36" s="704" t="s">
        <v>14</v>
      </c>
      <c r="U36" s="705">
        <f t="shared" si="13"/>
        <v>100</v>
      </c>
      <c r="V36" s="704" t="s">
        <v>14</v>
      </c>
      <c r="W36" s="705">
        <f t="shared" si="14"/>
        <v>100</v>
      </c>
      <c r="X36" s="3488"/>
      <c r="Y36" s="3844"/>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3584">
        <f>ROUND(1-(2024-2023)/60,2)</f>
        <v>0.98</v>
      </c>
      <c r="F37" s="412">
        <f>LOOKUP(E37,111:111,112:112)-LOOKUP(C37,111:111,112:112)+100</f>
        <v>100</v>
      </c>
      <c r="G37" s="425">
        <v>1</v>
      </c>
      <c r="H37" s="412">
        <f>LOOKUP(G37,111:111,112:112)-LOOKUP(C37,111:111,112:112)+100</f>
        <v>100</v>
      </c>
      <c r="I37" s="3942">
        <v>0.8</v>
      </c>
      <c r="J37" s="386">
        <f>LOOKUP(I37,111:111,112:112)-LOOKUP(C37,111:111,112:112)+100</f>
        <v>95</v>
      </c>
      <c r="K37" s="561">
        <v>5</v>
      </c>
      <c r="L37" s="2693"/>
      <c r="M37" s="2687"/>
      <c r="N37" s="2687"/>
      <c r="O37" s="2687"/>
      <c r="P37" s="3842"/>
      <c r="Q37" s="3484" t="str">
        <f t="shared" si="11"/>
        <v>成新度</v>
      </c>
      <c r="R37" s="704" t="s">
        <v>14</v>
      </c>
      <c r="S37" s="705">
        <f t="shared" si="12"/>
        <v>100</v>
      </c>
      <c r="T37" s="704" t="s">
        <v>14</v>
      </c>
      <c r="U37" s="705">
        <f t="shared" si="13"/>
        <v>100</v>
      </c>
      <c r="V37" s="704" t="s">
        <v>14</v>
      </c>
      <c r="W37" s="705">
        <f t="shared" si="14"/>
        <v>95</v>
      </c>
      <c r="X37" s="3488"/>
      <c r="Y37" s="3844"/>
      <c r="Z37" s="3486" t="str">
        <f t="shared" si="15"/>
        <v>成新度</v>
      </c>
      <c r="AA37" s="3485">
        <f t="shared" si="3"/>
        <v>1</v>
      </c>
      <c r="AB37" s="3485">
        <f t="shared" si="4"/>
        <v>1</v>
      </c>
      <c r="AC37" s="1957">
        <f t="shared" si="5"/>
        <v>1.0526315789473684</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3941"/>
      <c r="J38" s="386">
        <f>SUMIF(113:113,I38,114:114)-SUMIF(113:113,C38,114:114)+100</f>
        <v>100</v>
      </c>
      <c r="K38" s="561"/>
      <c r="L38" s="2688"/>
      <c r="M38" s="2689"/>
      <c r="N38" s="2689"/>
      <c r="O38" s="2689"/>
      <c r="P38" s="3842"/>
      <c r="Q38" s="3483" t="str">
        <f t="shared" si="11"/>
        <v>写字楼等级</v>
      </c>
      <c r="R38" s="700" t="s">
        <v>14</v>
      </c>
      <c r="S38" s="701">
        <f t="shared" si="12"/>
        <v>100</v>
      </c>
      <c r="T38" s="700" t="s">
        <v>14</v>
      </c>
      <c r="U38" s="701">
        <f t="shared" si="13"/>
        <v>100</v>
      </c>
      <c r="V38" s="700" t="s">
        <v>14</v>
      </c>
      <c r="W38" s="701">
        <f t="shared" si="14"/>
        <v>100</v>
      </c>
      <c r="X38" s="702"/>
      <c r="Y38" s="3844"/>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3941" t="s">
        <v>4163</v>
      </c>
      <c r="J39" s="386">
        <f>SUMIF(115:115,I39,116:116)-SUMIF(115:115,C39,116:116)+100</f>
        <v>100</v>
      </c>
      <c r="K39" s="561">
        <v>2</v>
      </c>
      <c r="L39" s="2693"/>
      <c r="M39" s="2687"/>
      <c r="N39" s="2687"/>
      <c r="O39" s="2687"/>
      <c r="P39" s="3842" t="s">
        <v>1680</v>
      </c>
      <c r="Q39" s="3484" t="str">
        <f t="shared" si="11"/>
        <v>物业管理</v>
      </c>
      <c r="R39" s="704" t="s">
        <v>14</v>
      </c>
      <c r="S39" s="705">
        <f t="shared" si="12"/>
        <v>100</v>
      </c>
      <c r="T39" s="704" t="s">
        <v>14</v>
      </c>
      <c r="U39" s="705">
        <f t="shared" si="13"/>
        <v>100</v>
      </c>
      <c r="V39" s="704" t="s">
        <v>14</v>
      </c>
      <c r="W39" s="705">
        <f t="shared" si="14"/>
        <v>100</v>
      </c>
      <c r="X39" s="3488"/>
      <c r="Y39" s="3844"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3941" t="s">
        <v>3440</v>
      </c>
      <c r="J40" s="386">
        <f>SUMIF(117:117,I40,118:118)-SUMIF(117:117,C40,118:118)+100</f>
        <v>100</v>
      </c>
      <c r="K40" s="561">
        <v>2</v>
      </c>
      <c r="L40" s="2693"/>
      <c r="M40" s="2687"/>
      <c r="N40" s="2687"/>
      <c r="O40" s="2687"/>
      <c r="P40" s="3842"/>
      <c r="Q40" s="3484" t="str">
        <f t="shared" si="11"/>
        <v>市政基础设施</v>
      </c>
      <c r="R40" s="704" t="s">
        <v>14</v>
      </c>
      <c r="S40" s="705">
        <f t="shared" si="12"/>
        <v>100</v>
      </c>
      <c r="T40" s="704" t="s">
        <v>14</v>
      </c>
      <c r="U40" s="705">
        <f t="shared" si="13"/>
        <v>100</v>
      </c>
      <c r="V40" s="704" t="s">
        <v>14</v>
      </c>
      <c r="W40" s="705">
        <f t="shared" si="14"/>
        <v>100</v>
      </c>
      <c r="X40" s="3488"/>
      <c r="Y40" s="3844"/>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3943" t="s">
        <v>4167</v>
      </c>
      <c r="J41" s="386">
        <f>SUMIF(119:119,I41,120:120)-SUMIF(119:119,C41,120:120)+100</f>
        <v>100</v>
      </c>
      <c r="K41" s="561">
        <v>2</v>
      </c>
      <c r="L41" s="2693"/>
      <c r="M41" s="2687"/>
      <c r="N41" s="2687"/>
      <c r="O41" s="2687"/>
      <c r="P41" s="3842"/>
      <c r="Q41" s="3484" t="str">
        <f t="shared" si="11"/>
        <v>层高</v>
      </c>
      <c r="R41" s="704" t="s">
        <v>14</v>
      </c>
      <c r="S41" s="705">
        <f t="shared" si="12"/>
        <v>100</v>
      </c>
      <c r="T41" s="704" t="s">
        <v>14</v>
      </c>
      <c r="U41" s="705">
        <f t="shared" si="13"/>
        <v>100</v>
      </c>
      <c r="V41" s="704" t="s">
        <v>14</v>
      </c>
      <c r="W41" s="705">
        <f t="shared" si="14"/>
        <v>100</v>
      </c>
      <c r="X41" s="3488"/>
      <c r="Y41" s="3844"/>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937"/>
      <c r="J42" s="386">
        <f>SUMIF(121:121,I42,122:122)-SUMIF(121:121,C42,122:122)+100</f>
        <v>100</v>
      </c>
      <c r="K42" s="562"/>
      <c r="L42" s="2692"/>
      <c r="M42" s="2694"/>
      <c r="N42" s="2694"/>
      <c r="O42" s="2694"/>
      <c r="P42" s="3842"/>
      <c r="Q42" s="706" t="str">
        <f t="shared" si="11"/>
        <v>单套建筑面积</v>
      </c>
      <c r="R42" s="707" t="s">
        <v>14</v>
      </c>
      <c r="S42" s="708">
        <f t="shared" si="12"/>
        <v>100</v>
      </c>
      <c r="T42" s="707" t="s">
        <v>14</v>
      </c>
      <c r="U42" s="708">
        <f t="shared" si="13"/>
        <v>100</v>
      </c>
      <c r="V42" s="707" t="s">
        <v>14</v>
      </c>
      <c r="W42" s="708">
        <f t="shared" si="14"/>
        <v>100</v>
      </c>
      <c r="X42" s="709"/>
      <c r="Y42" s="3844"/>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3941" t="s">
        <v>4159</v>
      </c>
      <c r="J43" s="386">
        <f>SUMIF(123:123,I43,124:124)-SUMIF(123:123,C43,124:124)+100</f>
        <v>100</v>
      </c>
      <c r="K43" s="561">
        <v>2</v>
      </c>
      <c r="L43" s="2693"/>
      <c r="M43" s="2687"/>
      <c r="N43" s="2687"/>
      <c r="O43" s="2687"/>
      <c r="P43" s="3842"/>
      <c r="Q43" s="3484" t="str">
        <f t="shared" si="11"/>
        <v>内部装修</v>
      </c>
      <c r="R43" s="704" t="s">
        <v>14</v>
      </c>
      <c r="S43" s="705">
        <f t="shared" si="12"/>
        <v>100</v>
      </c>
      <c r="T43" s="704" t="s">
        <v>14</v>
      </c>
      <c r="U43" s="705">
        <f t="shared" si="13"/>
        <v>100</v>
      </c>
      <c r="V43" s="704" t="s">
        <v>14</v>
      </c>
      <c r="W43" s="705">
        <f t="shared" si="14"/>
        <v>100</v>
      </c>
      <c r="X43" s="3488"/>
      <c r="Y43" s="3844"/>
      <c r="Z43" s="3486" t="str">
        <f t="shared" si="15"/>
        <v>内部装修</v>
      </c>
      <c r="AA43" s="3485">
        <f t="shared" si="3"/>
        <v>1</v>
      </c>
      <c r="AB43" s="3485">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3941" t="s">
        <v>3388</v>
      </c>
      <c r="J44" s="386">
        <f>SUMIF(125:125,I44,126:126)-SUMIF(125:125,C44,126:126)+100</f>
        <v>100</v>
      </c>
      <c r="K44" s="561">
        <v>2</v>
      </c>
      <c r="L44" s="2693"/>
      <c r="M44" s="2687"/>
      <c r="N44" s="2687"/>
      <c r="O44" s="2687"/>
      <c r="P44" s="3842"/>
      <c r="Q44" s="3484" t="str">
        <f t="shared" si="11"/>
        <v>内部装修维护情况</v>
      </c>
      <c r="R44" s="704" t="s">
        <v>14</v>
      </c>
      <c r="S44" s="705">
        <f t="shared" si="12"/>
        <v>100</v>
      </c>
      <c r="T44" s="704" t="s">
        <v>14</v>
      </c>
      <c r="U44" s="705">
        <f t="shared" si="13"/>
        <v>100</v>
      </c>
      <c r="V44" s="704" t="s">
        <v>14</v>
      </c>
      <c r="W44" s="705">
        <f t="shared" si="14"/>
        <v>100</v>
      </c>
      <c r="X44" s="3488"/>
      <c r="Y44" s="3844"/>
      <c r="Z44" s="3486" t="str">
        <f t="shared" si="15"/>
        <v>内部装修维护情况</v>
      </c>
      <c r="AA44" s="3485">
        <f t="shared" si="3"/>
        <v>1</v>
      </c>
      <c r="AB44" s="3485">
        <f t="shared" si="4"/>
        <v>1</v>
      </c>
      <c r="AC44" s="1957">
        <f t="shared" si="5"/>
        <v>1</v>
      </c>
    </row>
    <row r="45" spans="1:29" s="108" customFormat="1" ht="15.75" thickTop="1">
      <c r="A45" s="424"/>
      <c r="B45" s="3437" t="s">
        <v>3400</v>
      </c>
      <c r="C45" s="3956" t="s">
        <v>4428</v>
      </c>
      <c r="D45" s="127">
        <v>100</v>
      </c>
      <c r="E45" s="3555">
        <v>0.15</v>
      </c>
      <c r="F45" s="376">
        <f>SUMIF(127:127,E45,128:128)-SUMIF(127:127,C45,128:128)+100</f>
        <v>105</v>
      </c>
      <c r="G45" s="3555">
        <v>0</v>
      </c>
      <c r="H45" s="127">
        <f>SUMIF(127:127,G45,128:128)-SUMIF(127:127,C45,128:128)+100</f>
        <v>115</v>
      </c>
      <c r="I45" s="3555">
        <v>0.15</v>
      </c>
      <c r="J45" s="127">
        <f>SUMIF(127:127,I45,128:128)-SUMIF(127:127,C45,128:128)+100</f>
        <v>105</v>
      </c>
      <c r="K45" s="562"/>
      <c r="L45" s="2688"/>
      <c r="M45" s="2689"/>
      <c r="N45" s="2689"/>
      <c r="O45" s="2689"/>
      <c r="P45" s="3842"/>
      <c r="Q45" s="3483" t="str">
        <f t="shared" si="11"/>
        <v>地下占比</v>
      </c>
      <c r="R45" s="700" t="s">
        <v>14</v>
      </c>
      <c r="S45" s="701">
        <f t="shared" si="12"/>
        <v>105</v>
      </c>
      <c r="T45" s="700" t="s">
        <v>14</v>
      </c>
      <c r="U45" s="701">
        <f t="shared" si="13"/>
        <v>115</v>
      </c>
      <c r="V45" s="700" t="s">
        <v>14</v>
      </c>
      <c r="W45" s="701">
        <f t="shared" si="14"/>
        <v>105</v>
      </c>
      <c r="X45" s="702"/>
      <c r="Y45" s="3844"/>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952"/>
      <c r="J46" s="386">
        <f>SUMIF(129:129,I46,130:130)-SUMIF(129:129,C46,130:130)+100</f>
        <v>100</v>
      </c>
      <c r="K46" s="562"/>
      <c r="L46" s="2693"/>
      <c r="M46" s="2687"/>
      <c r="N46" s="2687"/>
      <c r="O46" s="2687"/>
      <c r="P46" s="3842"/>
      <c r="Q46" s="3484">
        <f t="shared" si="11"/>
        <v>111</v>
      </c>
      <c r="R46" s="704" t="s">
        <v>14</v>
      </c>
      <c r="S46" s="705">
        <f t="shared" si="12"/>
        <v>100</v>
      </c>
      <c r="T46" s="704" t="s">
        <v>14</v>
      </c>
      <c r="U46" s="705">
        <f t="shared" si="13"/>
        <v>100</v>
      </c>
      <c r="V46" s="704" t="s">
        <v>14</v>
      </c>
      <c r="W46" s="705">
        <f t="shared" si="14"/>
        <v>100</v>
      </c>
      <c r="X46" s="3488"/>
      <c r="Y46" s="3844"/>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936"/>
      <c r="J47" s="389">
        <f>SUMIF(131:131,I47,132:132)-SUMIF(131:131,C47,132:132)+100</f>
        <v>100</v>
      </c>
      <c r="K47" s="562"/>
      <c r="L47" s="2693"/>
      <c r="M47" s="2687"/>
      <c r="N47" s="2687"/>
      <c r="O47" s="2687"/>
      <c r="P47" s="3843"/>
      <c r="Q47" s="3484">
        <f t="shared" si="11"/>
        <v>111</v>
      </c>
      <c r="R47" s="704" t="s">
        <v>14</v>
      </c>
      <c r="S47" s="705">
        <f t="shared" si="12"/>
        <v>100</v>
      </c>
      <c r="T47" s="704" t="s">
        <v>14</v>
      </c>
      <c r="U47" s="705">
        <f t="shared" si="13"/>
        <v>100</v>
      </c>
      <c r="V47" s="704" t="s">
        <v>14</v>
      </c>
      <c r="W47" s="705">
        <f t="shared" si="14"/>
        <v>100</v>
      </c>
      <c r="X47" s="3488"/>
      <c r="Y47" s="3845"/>
      <c r="Z47" s="3486">
        <f t="shared" si="15"/>
        <v>111</v>
      </c>
      <c r="AA47" s="3485">
        <f t="shared" si="3"/>
        <v>1</v>
      </c>
      <c r="AB47" s="3485">
        <f t="shared" si="4"/>
        <v>1</v>
      </c>
      <c r="AC47" s="1957">
        <f t="shared" si="5"/>
        <v>1</v>
      </c>
    </row>
    <row r="48" spans="1:29" ht="15">
      <c r="A48" s="430" t="s">
        <v>1692</v>
      </c>
      <c r="B48" s="431"/>
      <c r="C48" s="1150" t="s">
        <v>0</v>
      </c>
      <c r="D48" s="1151"/>
      <c r="E48" s="1152">
        <v>76797</v>
      </c>
      <c r="F48" s="1153"/>
      <c r="G48" s="1154">
        <v>78407</v>
      </c>
      <c r="H48" s="1155"/>
      <c r="I48" s="3944">
        <v>69925</v>
      </c>
      <c r="J48" s="436"/>
      <c r="K48" s="713"/>
      <c r="L48" s="2695"/>
      <c r="M48" s="2687"/>
      <c r="N48" s="2687"/>
      <c r="O48" s="2687"/>
      <c r="P48" s="3816" t="str">
        <f>A48</f>
        <v>成交单价（元/平方米）</v>
      </c>
      <c r="Q48" s="3846"/>
      <c r="R48" s="3847">
        <f>E48</f>
        <v>76797</v>
      </c>
      <c r="S48" s="3847"/>
      <c r="T48" s="3847">
        <f>G48</f>
        <v>78407</v>
      </c>
      <c r="U48" s="3847"/>
      <c r="V48" s="3847">
        <f>I48</f>
        <v>69925</v>
      </c>
      <c r="W48" s="3847"/>
      <c r="X48" s="397"/>
      <c r="Y48" s="711"/>
      <c r="Z48" s="397"/>
      <c r="AA48" s="397"/>
      <c r="AB48" s="397"/>
      <c r="AC48" s="578"/>
    </row>
    <row r="49" spans="1:60" ht="15.75" thickBot="1">
      <c r="A49" s="437" t="s">
        <v>1693</v>
      </c>
      <c r="B49" s="438"/>
      <c r="C49" s="1156">
        <f>R50</f>
        <v>71806</v>
      </c>
      <c r="D49" s="2312" t="s">
        <v>2120</v>
      </c>
      <c r="E49" s="1157">
        <f>R49</f>
        <v>74733</v>
      </c>
      <c r="F49" s="2313"/>
      <c r="G49" s="1156">
        <f>T49</f>
        <v>66843</v>
      </c>
      <c r="H49" s="2313"/>
      <c r="I49" s="1157">
        <f>V49</f>
        <v>73842</v>
      </c>
      <c r="J49" s="2313"/>
      <c r="K49" s="2315">
        <f>F49+H49+J49</f>
        <v>0</v>
      </c>
      <c r="L49" s="2695"/>
      <c r="M49" s="2687"/>
      <c r="N49" s="2687"/>
      <c r="O49" s="2687"/>
      <c r="P49" s="3816" t="str">
        <f>A49</f>
        <v>比较价值（元/平方米）</v>
      </c>
      <c r="Q49" s="3846"/>
      <c r="R49" s="3847">
        <f>IF(F1="售价",ROUND(PRODUCT(R48,AA7:AA47),0),ROUND(PRODUCT(R48,AA7:AA47),1))</f>
        <v>74733</v>
      </c>
      <c r="S49" s="3847"/>
      <c r="T49" s="3847">
        <f>IF(F1="售价",ROUND(PRODUCT(T48,AB7:AB47),0),ROUND(PRODUCT(T48,AB7:AB47),1))</f>
        <v>66843</v>
      </c>
      <c r="U49" s="3847"/>
      <c r="V49" s="3847">
        <f>IF(F1="售价",ROUND(PRODUCT(V48,AC7:AC47),0),ROUND(PRODUCT(V48,AC7:AC47),1))</f>
        <v>73842</v>
      </c>
      <c r="W49" s="3847"/>
      <c r="X49" s="397"/>
      <c r="Y49" s="397"/>
      <c r="Z49" s="397"/>
      <c r="AA49" s="397"/>
      <c r="AB49" s="397"/>
      <c r="AC49" s="578"/>
    </row>
    <row r="50" spans="1:60" ht="15.75" thickBot="1">
      <c r="A50" s="441" t="s">
        <v>1694</v>
      </c>
      <c r="B50" s="442"/>
      <c r="C50" s="1159">
        <f>R50</f>
        <v>71806</v>
      </c>
      <c r="D50" s="1159"/>
      <c r="E50" s="1159"/>
      <c r="F50" s="1159"/>
      <c r="G50" s="1159"/>
      <c r="H50" s="1159"/>
      <c r="I50" s="1159"/>
      <c r="J50" s="443"/>
      <c r="K50" s="714"/>
      <c r="L50" s="2695"/>
      <c r="M50" s="2687"/>
      <c r="N50" s="2687"/>
      <c r="O50" s="2687"/>
      <c r="P50" s="3848" t="str">
        <f>A50</f>
        <v>估价对象XX用房的比较价值（楼面单价，元/平方米）</v>
      </c>
      <c r="Q50" s="3849"/>
      <c r="R50" s="3850">
        <f>IF(F1="售价",ROUND(IF(D49="简单平均",AVERAGE(R49:V49),R49*F49+T49*H49+V49*J49),0),ROUND(IF(D49="简单平均",AVERAGE(R49:V49),R49*F49+T49*H49+V49*J49),1))</f>
        <v>71806</v>
      </c>
      <c r="S50" s="3850"/>
      <c r="T50" s="3850"/>
      <c r="U50" s="3850"/>
      <c r="V50" s="3850"/>
      <c r="W50" s="3850"/>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2.7618321223555897E-2</v>
      </c>
      <c r="F53" s="449" t="str">
        <f>IF(OR(E53&gt;=0.3,E53&lt;=-0.3),"超过30%","")</f>
        <v/>
      </c>
      <c r="G53" s="448">
        <f>IF(G48&lt;G49,G49/G48-1,G48/G49-1)</f>
        <v>0.17300240862917593</v>
      </c>
      <c r="H53" s="449" t="str">
        <f>IF(OR(G53&gt;=0.3,G53&lt;=-0.3),"超过30%","")</f>
        <v/>
      </c>
      <c r="I53" s="448">
        <f>IF(I48&lt;I49,I49/I48-1,I48/I49-1)</f>
        <v>5.6017161244190206E-2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0.11803779004532999</v>
      </c>
      <c r="F54" s="449" t="str">
        <f>IF(OR(E54&gt;=0.2,E54&lt;=-0.2),"超过20%","")</f>
        <v/>
      </c>
      <c r="G54" s="448">
        <f>IF(G49&lt;I49,I49/G49-1,G49/I49-1)</f>
        <v>0.10470804721511606</v>
      </c>
      <c r="H54" s="449" t="str">
        <f>IF(OR(G54&gt;=0.2,G54&lt;=-0.2),"超过20%","")</f>
        <v/>
      </c>
      <c r="I54" s="448">
        <f>IF(I49&lt;E49,E49/I49-1,I49/E49-1)</f>
        <v>1.2066303729584726E-2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2.0964360587002018E-2</v>
      </c>
      <c r="F55" s="449" t="str">
        <f>IF(OR(E55&gt;=0.3,E55&lt;=-0.3),"超过30%","")</f>
        <v/>
      </c>
      <c r="G55" s="448">
        <f>IF(G48&lt;I48,I48/G48-1,G48/I48-1)</f>
        <v>0.12130139435109055</v>
      </c>
      <c r="H55" s="449" t="str">
        <f>IF(OR(G55&gt;=0.3,G55&lt;=-0.3),"超过30%","")</f>
        <v/>
      </c>
      <c r="I55" s="448">
        <f>IF(I48&lt;E48,E48/I48-1,I48/E48-1)</f>
        <v>9.8276725062567127E-2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BH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si="16"/>
        <v>45078</v>
      </c>
      <c r="Q59" s="3440">
        <f t="shared" si="16"/>
        <v>45047</v>
      </c>
      <c r="R59" s="3440">
        <f t="shared" si="16"/>
        <v>45017</v>
      </c>
      <c r="S59" s="3440">
        <f t="shared" si="16"/>
        <v>44986</v>
      </c>
      <c r="T59" s="3440">
        <f t="shared" si="16"/>
        <v>44958</v>
      </c>
      <c r="U59" s="3440">
        <f t="shared" si="16"/>
        <v>44927</v>
      </c>
      <c r="V59" s="3440">
        <f t="shared" si="16"/>
        <v>44896</v>
      </c>
      <c r="W59" s="3440">
        <f t="shared" si="16"/>
        <v>44866</v>
      </c>
      <c r="X59" s="3440">
        <f t="shared" si="16"/>
        <v>44835</v>
      </c>
      <c r="Y59" s="3440">
        <f t="shared" si="16"/>
        <v>44805</v>
      </c>
      <c r="Z59" s="3440">
        <f t="shared" si="16"/>
        <v>44774</v>
      </c>
      <c r="AA59" s="3440">
        <f t="shared" si="16"/>
        <v>44743</v>
      </c>
      <c r="AB59" s="3440">
        <f t="shared" si="16"/>
        <v>44713</v>
      </c>
      <c r="AC59" s="3440">
        <f t="shared" si="16"/>
        <v>44682</v>
      </c>
      <c r="AD59" s="3440">
        <f t="shared" si="16"/>
        <v>44652</v>
      </c>
      <c r="AE59" s="3440">
        <f t="shared" si="16"/>
        <v>44621</v>
      </c>
      <c r="AF59" s="3440">
        <f t="shared" si="16"/>
        <v>44593</v>
      </c>
      <c r="AG59" s="3440">
        <f t="shared" si="16"/>
        <v>44562</v>
      </c>
      <c r="AH59" s="3440">
        <f t="shared" si="16"/>
        <v>44531</v>
      </c>
      <c r="AI59" s="3440">
        <f t="shared" si="16"/>
        <v>44501</v>
      </c>
      <c r="AJ59" s="3440">
        <f t="shared" si="16"/>
        <v>44470</v>
      </c>
      <c r="AK59" s="3440">
        <f t="shared" si="16"/>
        <v>44440</v>
      </c>
      <c r="AL59" s="3440">
        <f t="shared" si="16"/>
        <v>44409</v>
      </c>
      <c r="AM59" s="3440">
        <f t="shared" si="16"/>
        <v>44378</v>
      </c>
      <c r="AN59" s="3440">
        <f t="shared" si="16"/>
        <v>44348</v>
      </c>
      <c r="AO59" s="3440">
        <f t="shared" si="16"/>
        <v>44317</v>
      </c>
      <c r="AP59" s="3440">
        <f t="shared" si="16"/>
        <v>44287</v>
      </c>
      <c r="AQ59" s="3440">
        <f t="shared" si="16"/>
        <v>44256</v>
      </c>
      <c r="AR59" s="3440">
        <f t="shared" si="16"/>
        <v>44228</v>
      </c>
      <c r="AS59" s="3440">
        <f t="shared" si="16"/>
        <v>44197</v>
      </c>
      <c r="AT59" s="3440">
        <f t="shared" si="16"/>
        <v>44166</v>
      </c>
      <c r="AU59" s="3440">
        <f t="shared" si="16"/>
        <v>44136</v>
      </c>
      <c r="AV59" s="3440">
        <f t="shared" si="16"/>
        <v>44105</v>
      </c>
      <c r="AW59" s="3440">
        <f t="shared" si="16"/>
        <v>44075</v>
      </c>
      <c r="AX59" s="3440">
        <f t="shared" si="16"/>
        <v>44044</v>
      </c>
      <c r="AY59" s="3440">
        <f t="shared" si="16"/>
        <v>44013</v>
      </c>
      <c r="AZ59" s="3440">
        <f t="shared" si="16"/>
        <v>43983</v>
      </c>
      <c r="BA59" s="3440">
        <f t="shared" si="16"/>
        <v>43952</v>
      </c>
      <c r="BB59" s="3440">
        <f t="shared" si="16"/>
        <v>43922</v>
      </c>
      <c r="BC59" s="3440">
        <f t="shared" si="16"/>
        <v>43891</v>
      </c>
      <c r="BD59" s="3440">
        <f t="shared" si="16"/>
        <v>43862</v>
      </c>
      <c r="BE59" s="3440">
        <f t="shared" si="16"/>
        <v>43831</v>
      </c>
      <c r="BF59" s="3440">
        <f t="shared" si="16"/>
        <v>43800</v>
      </c>
      <c r="BG59" s="3440">
        <f t="shared" si="16"/>
        <v>43770</v>
      </c>
      <c r="BH59" s="3440">
        <f t="shared" si="16"/>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4342</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3389</v>
      </c>
      <c r="D93" s="3477" t="s">
        <v>3388</v>
      </c>
      <c r="E93" s="503" t="s">
        <v>3399</v>
      </c>
      <c r="F93" s="503" t="s">
        <v>4206</v>
      </c>
      <c r="G93" s="503" t="s">
        <v>4425</v>
      </c>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v>95</v>
      </c>
      <c r="E94" s="485">
        <v>90</v>
      </c>
      <c r="F94" s="485">
        <v>85</v>
      </c>
      <c r="G94" s="485">
        <v>80</v>
      </c>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0(含)-50000</v>
      </c>
      <c r="D103" s="527" t="str">
        <f t="shared" ref="D103:L103" si="24">D104&amp;"(含)"&amp;"-"&amp;E104</f>
        <v>50000(含)-100000</v>
      </c>
      <c r="E103" s="527" t="str">
        <f t="shared" si="24"/>
        <v>100000(含)-150000</v>
      </c>
      <c r="F103" s="527" t="str">
        <f t="shared" si="24"/>
        <v>150000(含)-200000</v>
      </c>
      <c r="G103" s="527" t="str">
        <f t="shared" si="24"/>
        <v>200000(含)-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f>C104+50000</f>
        <v>50000</v>
      </c>
      <c r="E104" s="544">
        <f t="shared" ref="E104:G104" si="25">D104+50000</f>
        <v>100000</v>
      </c>
      <c r="F104" s="544">
        <f t="shared" si="25"/>
        <v>150000</v>
      </c>
      <c r="G104" s="544">
        <f t="shared" si="25"/>
        <v>200000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105</v>
      </c>
      <c r="E112" s="493">
        <f t="shared" ref="E112:M112" si="28">D112+$K37</f>
        <v>110</v>
      </c>
      <c r="F112" s="493">
        <f t="shared" si="28"/>
        <v>115</v>
      </c>
      <c r="G112" s="493">
        <f t="shared" si="28"/>
        <v>120</v>
      </c>
      <c r="H112" s="493">
        <f t="shared" si="28"/>
        <v>125</v>
      </c>
      <c r="I112" s="493">
        <f t="shared" si="28"/>
        <v>130</v>
      </c>
      <c r="J112" s="493">
        <f t="shared" si="28"/>
        <v>135</v>
      </c>
      <c r="K112" s="493">
        <f t="shared" si="28"/>
        <v>140</v>
      </c>
      <c r="L112" s="493">
        <f t="shared" si="28"/>
        <v>145</v>
      </c>
      <c r="M112" s="493">
        <f t="shared" si="28"/>
        <v>150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957">
        <v>0</v>
      </c>
      <c r="D127" s="3957">
        <v>0.15</v>
      </c>
      <c r="E127" s="3956" t="s">
        <v>4428</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3955">
        <v>100</v>
      </c>
      <c r="D128" s="3954">
        <v>90</v>
      </c>
      <c r="E128" s="3954">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4345</v>
      </c>
      <c r="D134" s="357">
        <v>50000</v>
      </c>
      <c r="E134" s="357">
        <v>50000</v>
      </c>
      <c r="F134" s="357">
        <f>E134</f>
        <v>50000</v>
      </c>
      <c r="G134" s="357">
        <f>F134</f>
        <v>50000</v>
      </c>
    </row>
    <row r="135" spans="1:29">
      <c r="C135" s="3551" t="s">
        <v>4343</v>
      </c>
      <c r="D135" s="357">
        <f>D134-D136</f>
        <v>50000</v>
      </c>
      <c r="E135" s="357">
        <f t="shared" ref="E135" si="33">E134-E136</f>
        <v>42500</v>
      </c>
      <c r="F135" s="357">
        <f>F134-F136</f>
        <v>37500</v>
      </c>
      <c r="G135" s="357">
        <f>G134-G136</f>
        <v>32500</v>
      </c>
    </row>
    <row r="136" spans="1:29">
      <c r="C136" s="3551" t="s">
        <v>4344</v>
      </c>
      <c r="D136" s="357">
        <f>D134*D137</f>
        <v>0</v>
      </c>
      <c r="E136" s="357">
        <f t="shared" ref="E136:G136" si="34">E134*E137</f>
        <v>7500</v>
      </c>
      <c r="F136" s="357">
        <f t="shared" si="34"/>
        <v>12500</v>
      </c>
      <c r="G136" s="357">
        <f t="shared" si="34"/>
        <v>17500</v>
      </c>
    </row>
    <row r="137" spans="1:29">
      <c r="D137" s="3553">
        <v>0</v>
      </c>
      <c r="E137" s="3553">
        <v>0.15</v>
      </c>
      <c r="F137" s="3553">
        <v>0.25</v>
      </c>
      <c r="G137" s="3553">
        <v>0.35</v>
      </c>
    </row>
    <row r="138" spans="1:29">
      <c r="D138" s="357">
        <f>(D135*G135+D136*G136)/D134</f>
        <v>32500</v>
      </c>
      <c r="E138" s="357">
        <f>(E135*G135+E136*G136)/E134</f>
        <v>30250</v>
      </c>
      <c r="F138" s="357">
        <f>(F135*G135+F136*G136)/F134</f>
        <v>28750</v>
      </c>
      <c r="G138" s="357">
        <f>(G135*H135+G136*H136)/G134</f>
        <v>0</v>
      </c>
    </row>
    <row r="139" spans="1:29">
      <c r="E139" s="3554">
        <f>(E138-D138)/E138</f>
        <v>-7.43801652892562E-2</v>
      </c>
      <c r="F139" s="3554">
        <f>(F138-D138)/F138</f>
        <v>-0.13043478260869565</v>
      </c>
    </row>
  </sheetData>
  <sheetProtection password="CEE9" sheet="1" objects="1" scenarios="1" formatCells="0" formatColumns="0" formatRows="0"/>
  <mergeCells count="40">
    <mergeCell ref="I5:J5"/>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C6:D6"/>
    <mergeCell ref="E6:F6"/>
    <mergeCell ref="G6:H6"/>
    <mergeCell ref="I6:J6"/>
    <mergeCell ref="T4:U6"/>
  </mergeCells>
  <phoneticPr fontId="135"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906" t="s">
        <v>2068</v>
      </c>
      <c r="D1" s="3907"/>
      <c r="E1" s="3907"/>
      <c r="F1" s="3907"/>
      <c r="G1" s="3907"/>
      <c r="H1" s="3907"/>
      <c r="I1" s="3907"/>
      <c r="J1" s="3907"/>
      <c r="K1" s="3907"/>
      <c r="L1" s="3907"/>
      <c r="M1" s="3907"/>
      <c r="N1" s="3907"/>
      <c r="O1" s="3907"/>
      <c r="P1" s="3907"/>
      <c r="Q1" s="3907"/>
      <c r="R1" s="3907"/>
      <c r="S1" s="3908"/>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903" t="s">
        <v>27</v>
      </c>
      <c r="D22" s="3904"/>
      <c r="E22" s="3904"/>
      <c r="F22" s="3904"/>
      <c r="G22" s="3904"/>
      <c r="H22" s="3904"/>
      <c r="I22" s="3904"/>
      <c r="J22" s="3904"/>
      <c r="K22" s="3904"/>
      <c r="L22" s="3904"/>
      <c r="M22" s="3904"/>
      <c r="N22" s="3904"/>
      <c r="O22" s="3904"/>
      <c r="P22" s="3904"/>
      <c r="Q22" s="3905"/>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20" t="s">
        <v>1754</v>
      </c>
      <c r="D4" s="3821"/>
      <c r="E4" s="3822" t="s">
        <v>1755</v>
      </c>
      <c r="F4" s="3823"/>
      <c r="G4" s="3820" t="s">
        <v>1756</v>
      </c>
      <c r="H4" s="3821"/>
      <c r="I4" s="3820" t="s">
        <v>1757</v>
      </c>
      <c r="J4" s="3821"/>
      <c r="K4" s="559" t="s">
        <v>1758</v>
      </c>
      <c r="L4" s="2686"/>
      <c r="M4" s="2687"/>
      <c r="N4" s="2687"/>
      <c r="O4" s="2687"/>
      <c r="P4" s="3854" t="s">
        <v>1759</v>
      </c>
      <c r="Q4" s="3855"/>
      <c r="R4" s="3852" t="s">
        <v>1755</v>
      </c>
      <c r="S4" s="3853"/>
      <c r="T4" s="3852" t="s">
        <v>1756</v>
      </c>
      <c r="U4" s="3853"/>
      <c r="V4" s="3833" t="s">
        <v>1757</v>
      </c>
      <c r="W4" s="3833"/>
      <c r="X4" s="1350"/>
      <c r="Y4" s="3852" t="s">
        <v>1759</v>
      </c>
      <c r="Z4" s="3853"/>
      <c r="AA4" s="3851" t="s">
        <v>1755</v>
      </c>
      <c r="AB4" s="3800" t="s">
        <v>1756</v>
      </c>
      <c r="AC4" s="3851" t="s">
        <v>1757</v>
      </c>
    </row>
    <row r="5" spans="1:30" ht="75" customHeight="1">
      <c r="A5" s="358"/>
      <c r="B5" s="359"/>
      <c r="C5" s="3810" t="s">
        <v>1657</v>
      </c>
      <c r="D5" s="3811"/>
      <c r="E5" s="3808" t="str">
        <f>土地案例!A2</f>
        <v>北京市朝阳区太阳宫乡0301-613地块B4综合性商业金融服务业用地</v>
      </c>
      <c r="F5" s="3809"/>
      <c r="G5" s="3810" t="str">
        <f>土地案例!A3</f>
        <v>北京市海淀区西八里庄0711-652、640、641地块B4综合性商业金融服务业用地</v>
      </c>
      <c r="H5" s="3811"/>
      <c r="I5" s="3810" t="s">
        <v>3438</v>
      </c>
      <c r="J5" s="3811"/>
      <c r="K5" s="559"/>
      <c r="L5" s="2686"/>
      <c r="M5" s="2687"/>
      <c r="N5" s="2687"/>
      <c r="O5" s="2687"/>
      <c r="P5" s="3856"/>
      <c r="Q5" s="3827"/>
      <c r="R5" s="3806"/>
      <c r="S5" s="3807"/>
      <c r="T5" s="3806"/>
      <c r="U5" s="3807"/>
      <c r="V5" s="3833"/>
      <c r="W5" s="3833"/>
      <c r="X5" s="1350"/>
      <c r="Y5" s="3806"/>
      <c r="Z5" s="3807"/>
      <c r="AA5" s="3800"/>
      <c r="AB5" s="3800"/>
      <c r="AC5" s="3800"/>
    </row>
    <row r="6" spans="1:30" ht="15.75" thickBot="1">
      <c r="A6" s="360"/>
      <c r="B6" s="361"/>
      <c r="C6" s="3812" t="s">
        <v>1661</v>
      </c>
      <c r="D6" s="3813"/>
      <c r="E6" s="3814" t="s">
        <v>1661</v>
      </c>
      <c r="F6" s="3815"/>
      <c r="G6" s="3812" t="s">
        <v>1661</v>
      </c>
      <c r="H6" s="3813"/>
      <c r="I6" s="3812" t="s">
        <v>1661</v>
      </c>
      <c r="J6" s="3813"/>
      <c r="K6" s="559" t="s">
        <v>1662</v>
      </c>
      <c r="L6" s="2686"/>
      <c r="M6" s="2687"/>
      <c r="N6" s="2687"/>
      <c r="O6" s="2687"/>
      <c r="P6" s="3857"/>
      <c r="Q6" s="3829"/>
      <c r="R6" s="3806"/>
      <c r="S6" s="3807"/>
      <c r="T6" s="3830"/>
      <c r="U6" s="3831"/>
      <c r="V6" s="3833"/>
      <c r="W6" s="3833"/>
      <c r="X6" s="1350"/>
      <c r="Y6" s="3830"/>
      <c r="Z6" s="3831"/>
      <c r="AA6" s="3801"/>
      <c r="AB6" s="3801"/>
      <c r="AC6" s="3801"/>
    </row>
    <row r="7" spans="1:30" s="108" customFormat="1" ht="15.75" thickBot="1">
      <c r="A7" s="362" t="s">
        <v>1663</v>
      </c>
      <c r="B7" s="363"/>
      <c r="C7" s="364">
        <f>'数据-取费表'!B2</f>
        <v>45491</v>
      </c>
      <c r="D7" s="365">
        <v>100</v>
      </c>
      <c r="E7" s="366">
        <f>土地案例!AC2</f>
        <v>45114.000497685185</v>
      </c>
      <c r="F7" s="367">
        <f>SUMIF(69:69,YEAR(E7)&amp;"-"&amp;INT((MONTH(E7)+2)/3),70:70)</f>
        <v>98</v>
      </c>
      <c r="G7" s="1969">
        <f>土地案例!AC3</f>
        <v>44167.000497685185</v>
      </c>
      <c r="H7" s="365">
        <f>SUMIF(69:69,YEAR(G7)&amp;"-"&amp;INT((MONTH(G7)+2)/3),70:70)</f>
        <v>0</v>
      </c>
      <c r="I7" s="1969">
        <v>44980.000497685185</v>
      </c>
      <c r="J7" s="365">
        <f>SUMIF(69:69,YEAR(I7)&amp;"-"&amp;INT((MONTH(I7)+2)/3),70:70)</f>
        <v>97</v>
      </c>
      <c r="K7" s="560"/>
      <c r="L7" s="2688"/>
      <c r="M7" s="2689"/>
      <c r="N7" s="2689"/>
      <c r="O7" s="2689"/>
      <c r="P7" s="3802" t="s">
        <v>1664</v>
      </c>
      <c r="Q7" s="3836"/>
      <c r="R7" s="700" t="s">
        <v>14</v>
      </c>
      <c r="S7" s="701">
        <f t="shared" ref="S7:S15" si="0">F7</f>
        <v>98</v>
      </c>
      <c r="T7" s="700" t="s">
        <v>14</v>
      </c>
      <c r="U7" s="701">
        <f t="shared" ref="U7:U15" si="1">H7</f>
        <v>0</v>
      </c>
      <c r="V7" s="700" t="s">
        <v>14</v>
      </c>
      <c r="W7" s="701">
        <f t="shared" ref="W7:W15" si="2">J7</f>
        <v>97</v>
      </c>
      <c r="X7" s="702"/>
      <c r="Y7" s="3802" t="s">
        <v>1664</v>
      </c>
      <c r="Z7" s="3803"/>
      <c r="AA7" s="703">
        <f>D7/F7</f>
        <v>1.0204081632653061</v>
      </c>
      <c r="AB7" s="703" t="e">
        <f>D7/H7</f>
        <v>#DIV/0!</v>
      </c>
      <c r="AC7" s="703">
        <f>D7/J7</f>
        <v>1.0309278350515463</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802" t="s">
        <v>1667</v>
      </c>
      <c r="Q8" s="3803"/>
      <c r="R8" s="700" t="s">
        <v>14</v>
      </c>
      <c r="S8" s="701">
        <f t="shared" si="0"/>
        <v>100</v>
      </c>
      <c r="T8" s="700" t="s">
        <v>14</v>
      </c>
      <c r="U8" s="701">
        <f t="shared" si="1"/>
        <v>100</v>
      </c>
      <c r="V8" s="700" t="s">
        <v>14</v>
      </c>
      <c r="W8" s="701">
        <f t="shared" si="2"/>
        <v>100</v>
      </c>
      <c r="X8" s="702"/>
      <c r="Y8" s="3802" t="s">
        <v>1667</v>
      </c>
      <c r="Z8" s="3803"/>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846" t="s">
        <v>1670</v>
      </c>
      <c r="Q9" s="1338" t="str">
        <f t="shared" ref="Q9:Q15" si="6">B9</f>
        <v>用途</v>
      </c>
      <c r="R9" s="700" t="s">
        <v>14</v>
      </c>
      <c r="S9" s="701">
        <f t="shared" si="0"/>
        <v>100</v>
      </c>
      <c r="T9" s="700" t="s">
        <v>14</v>
      </c>
      <c r="U9" s="701">
        <f t="shared" si="1"/>
        <v>100</v>
      </c>
      <c r="V9" s="700" t="s">
        <v>14</v>
      </c>
      <c r="W9" s="701">
        <f t="shared" si="2"/>
        <v>100</v>
      </c>
      <c r="X9" s="702"/>
      <c r="Y9" s="3748" t="s">
        <v>1671</v>
      </c>
      <c r="Z9" s="52" t="str">
        <f t="shared" ref="Z9:Z15" si="7">Q9</f>
        <v>用途</v>
      </c>
      <c r="AA9" s="703">
        <f t="shared" si="3"/>
        <v>1</v>
      </c>
      <c r="AB9" s="703">
        <f t="shared" si="4"/>
        <v>1</v>
      </c>
      <c r="AC9" s="703">
        <f t="shared" si="5"/>
        <v>1</v>
      </c>
    </row>
    <row r="10" spans="1:30" s="378" customFormat="1" ht="27">
      <c r="A10" s="374"/>
      <c r="B10" s="375" t="s">
        <v>1672</v>
      </c>
      <c r="C10" s="383">
        <f>'数据-取费表'!F6</f>
        <v>20.14</v>
      </c>
      <c r="D10" s="127">
        <v>100</v>
      </c>
      <c r="E10" s="416" t="s">
        <v>3431</v>
      </c>
      <c r="F10" s="127">
        <f>ROUND(100/'数据-取费表'!G16,0)</f>
        <v>126</v>
      </c>
      <c r="G10" s="414" t="s">
        <v>4198</v>
      </c>
      <c r="H10" s="127">
        <f>ROUND(100/'数据-取费表'!G16,0)</f>
        <v>126</v>
      </c>
      <c r="I10" s="414" t="s">
        <v>3431</v>
      </c>
      <c r="J10" s="127">
        <f>ROUND(100/'数据-取费表'!G16,0)</f>
        <v>126</v>
      </c>
      <c r="K10" s="620"/>
      <c r="L10" s="2690"/>
      <c r="M10" s="2691"/>
      <c r="N10" s="2691"/>
      <c r="O10" s="2744"/>
      <c r="P10" s="3846"/>
      <c r="Q10" s="1338" t="str">
        <f t="shared" si="6"/>
        <v>土地使用年限（年）</v>
      </c>
      <c r="R10" s="700" t="s">
        <v>14</v>
      </c>
      <c r="S10" s="701">
        <f t="shared" si="0"/>
        <v>126</v>
      </c>
      <c r="T10" s="700" t="s">
        <v>14</v>
      </c>
      <c r="U10" s="701">
        <f t="shared" si="1"/>
        <v>126</v>
      </c>
      <c r="V10" s="700" t="s">
        <v>14</v>
      </c>
      <c r="W10" s="701">
        <f t="shared" si="2"/>
        <v>126</v>
      </c>
      <c r="X10" s="702"/>
      <c r="Y10" s="3748"/>
      <c r="Z10" s="52" t="str">
        <f t="shared" si="7"/>
        <v>土地使用年限（年）</v>
      </c>
      <c r="AA10" s="703">
        <f t="shared" si="3"/>
        <v>0.79365079365079361</v>
      </c>
      <c r="AB10" s="703">
        <f t="shared" si="4"/>
        <v>0.79365079365079361</v>
      </c>
      <c r="AC10" s="703">
        <f t="shared" si="5"/>
        <v>0.79365079365079361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46"/>
      <c r="Q11" s="1338" t="str">
        <f t="shared" si="6"/>
        <v>容积率</v>
      </c>
      <c r="R11" s="700" t="s">
        <v>14</v>
      </c>
      <c r="S11" s="701">
        <f t="shared" si="0"/>
        <v>102</v>
      </c>
      <c r="T11" s="700" t="s">
        <v>14</v>
      </c>
      <c r="U11" s="701">
        <f t="shared" si="1"/>
        <v>102</v>
      </c>
      <c r="V11" s="700" t="s">
        <v>14</v>
      </c>
      <c r="W11" s="701">
        <f t="shared" si="2"/>
        <v>102</v>
      </c>
      <c r="X11" s="702"/>
      <c r="Y11" s="3748"/>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46"/>
      <c r="Q12" s="1338" t="str">
        <f t="shared" si="6"/>
        <v>配建</v>
      </c>
      <c r="R12" s="700" t="s">
        <v>14</v>
      </c>
      <c r="S12" s="701">
        <f t="shared" si="0"/>
        <v>100</v>
      </c>
      <c r="T12" s="700" t="s">
        <v>14</v>
      </c>
      <c r="U12" s="701">
        <f t="shared" si="1"/>
        <v>100</v>
      </c>
      <c r="V12" s="700" t="s">
        <v>14</v>
      </c>
      <c r="W12" s="701">
        <f t="shared" si="2"/>
        <v>100</v>
      </c>
      <c r="X12" s="702"/>
      <c r="Y12" s="3748"/>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46"/>
      <c r="Q13" s="1338">
        <f t="shared" si="6"/>
        <v>111</v>
      </c>
      <c r="R13" s="700" t="s">
        <v>14</v>
      </c>
      <c r="S13" s="701">
        <f t="shared" si="0"/>
        <v>100</v>
      </c>
      <c r="T13" s="700" t="s">
        <v>14</v>
      </c>
      <c r="U13" s="701">
        <f t="shared" si="1"/>
        <v>100</v>
      </c>
      <c r="V13" s="700" t="s">
        <v>14</v>
      </c>
      <c r="W13" s="701">
        <f t="shared" si="2"/>
        <v>100</v>
      </c>
      <c r="X13" s="702"/>
      <c r="Y13" s="3748"/>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46"/>
      <c r="Q14" s="1338">
        <f t="shared" si="6"/>
        <v>111</v>
      </c>
      <c r="R14" s="700" t="s">
        <v>14</v>
      </c>
      <c r="S14" s="701">
        <f t="shared" si="0"/>
        <v>100</v>
      </c>
      <c r="T14" s="700" t="s">
        <v>14</v>
      </c>
      <c r="U14" s="701">
        <f t="shared" si="1"/>
        <v>100</v>
      </c>
      <c r="V14" s="700" t="s">
        <v>14</v>
      </c>
      <c r="W14" s="701">
        <f t="shared" si="2"/>
        <v>100</v>
      </c>
      <c r="X14" s="702"/>
      <c r="Y14" s="3748"/>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39" t="s">
        <v>1675</v>
      </c>
      <c r="Q15" s="1347" t="str">
        <f t="shared" si="6"/>
        <v>居住社区成熟度</v>
      </c>
      <c r="R15" s="704" t="s">
        <v>14</v>
      </c>
      <c r="S15" s="705">
        <f t="shared" si="0"/>
        <v>100</v>
      </c>
      <c r="T15" s="704" t="s">
        <v>14</v>
      </c>
      <c r="U15" s="705">
        <f t="shared" si="1"/>
        <v>100</v>
      </c>
      <c r="V15" s="704" t="s">
        <v>14</v>
      </c>
      <c r="W15" s="705">
        <f t="shared" si="2"/>
        <v>100</v>
      </c>
      <c r="X15" s="1350"/>
      <c r="Y15" s="3839"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40"/>
      <c r="Q16" s="1347"/>
      <c r="R16" s="704"/>
      <c r="S16" s="705"/>
      <c r="T16" s="704"/>
      <c r="U16" s="705"/>
      <c r="V16" s="704"/>
      <c r="W16" s="705"/>
      <c r="X16" s="1350"/>
      <c r="Y16" s="3840"/>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840"/>
      <c r="Q17" s="1347" t="str">
        <f>B17</f>
        <v>商业繁华度</v>
      </c>
      <c r="R17" s="704" t="s">
        <v>14</v>
      </c>
      <c r="S17" s="705">
        <f>F17</f>
        <v>102</v>
      </c>
      <c r="T17" s="704" t="s">
        <v>14</v>
      </c>
      <c r="U17" s="705">
        <f>H17</f>
        <v>100</v>
      </c>
      <c r="V17" s="704" t="s">
        <v>14</v>
      </c>
      <c r="W17" s="705">
        <f>J17</f>
        <v>102</v>
      </c>
      <c r="X17" s="1350"/>
      <c r="Y17" s="3840"/>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840"/>
      <c r="Q18" s="1347"/>
      <c r="R18" s="704"/>
      <c r="S18" s="705"/>
      <c r="T18" s="704"/>
      <c r="U18" s="705"/>
      <c r="V18" s="704"/>
      <c r="W18" s="705"/>
      <c r="X18" s="1350"/>
      <c r="Y18" s="3840"/>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840"/>
      <c r="Q19" s="1347" t="str">
        <f>B19</f>
        <v>办公集聚程度</v>
      </c>
      <c r="R19" s="704" t="s">
        <v>14</v>
      </c>
      <c r="S19" s="705">
        <f>F19</f>
        <v>100</v>
      </c>
      <c r="T19" s="704" t="s">
        <v>14</v>
      </c>
      <c r="U19" s="705">
        <f>H19</f>
        <v>100</v>
      </c>
      <c r="V19" s="704" t="s">
        <v>14</v>
      </c>
      <c r="W19" s="705">
        <f>J19</f>
        <v>96</v>
      </c>
      <c r="X19" s="1350"/>
      <c r="Y19" s="3840"/>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840"/>
      <c r="Q20" s="1347"/>
      <c r="R20" s="704"/>
      <c r="S20" s="705"/>
      <c r="T20" s="704"/>
      <c r="U20" s="705"/>
      <c r="V20" s="704"/>
      <c r="W20" s="705"/>
      <c r="X20" s="1350"/>
      <c r="Y20" s="3840"/>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840"/>
      <c r="Q21" s="1347" t="str">
        <f>B21</f>
        <v>交通便捷度</v>
      </c>
      <c r="R21" s="704" t="s">
        <v>14</v>
      </c>
      <c r="S21" s="705">
        <f>F21</f>
        <v>100</v>
      </c>
      <c r="T21" s="704" t="s">
        <v>14</v>
      </c>
      <c r="U21" s="705">
        <f>H21</f>
        <v>100</v>
      </c>
      <c r="V21" s="704" t="s">
        <v>14</v>
      </c>
      <c r="W21" s="705">
        <f>J21</f>
        <v>98</v>
      </c>
      <c r="X21" s="1350"/>
      <c r="Y21" s="3840"/>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840"/>
      <c r="Q22" s="1347"/>
      <c r="R22" s="704"/>
      <c r="S22" s="705"/>
      <c r="T22" s="704"/>
      <c r="U22" s="705"/>
      <c r="V22" s="704"/>
      <c r="W22" s="705"/>
      <c r="X22" s="1350"/>
      <c r="Y22" s="3840"/>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840"/>
      <c r="Q23" s="1347" t="str">
        <f t="shared" ref="Q23:Q37" si="8">B23</f>
        <v>区域土地利用方向</v>
      </c>
      <c r="R23" s="704" t="s">
        <v>14</v>
      </c>
      <c r="S23" s="705">
        <f>F23</f>
        <v>100</v>
      </c>
      <c r="T23" s="704" t="s">
        <v>14</v>
      </c>
      <c r="U23" s="705">
        <f>H23</f>
        <v>100</v>
      </c>
      <c r="V23" s="704" t="s">
        <v>14</v>
      </c>
      <c r="W23" s="705">
        <f>J23</f>
        <v>100</v>
      </c>
      <c r="X23" s="1350"/>
      <c r="Y23" s="3840"/>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840"/>
      <c r="Q24" s="1347"/>
      <c r="R24" s="704"/>
      <c r="S24" s="705"/>
      <c r="T24" s="704"/>
      <c r="U24" s="705"/>
      <c r="V24" s="704"/>
      <c r="W24" s="705"/>
      <c r="X24" s="1350"/>
      <c r="Y24" s="3840"/>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840"/>
      <c r="Q25" s="1347" t="str">
        <f t="shared" si="8"/>
        <v>自然及人文环境状况</v>
      </c>
      <c r="R25" s="704" t="s">
        <v>14</v>
      </c>
      <c r="S25" s="705">
        <f>F25</f>
        <v>100</v>
      </c>
      <c r="T25" s="704" t="s">
        <v>14</v>
      </c>
      <c r="U25" s="705">
        <f>H25</f>
        <v>100</v>
      </c>
      <c r="V25" s="704" t="s">
        <v>14</v>
      </c>
      <c r="W25" s="705">
        <f>J25</f>
        <v>100</v>
      </c>
      <c r="X25" s="1350"/>
      <c r="Y25" s="3840"/>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840"/>
      <c r="Q26" s="1347"/>
      <c r="R26" s="704"/>
      <c r="S26" s="705"/>
      <c r="T26" s="704"/>
      <c r="U26" s="705"/>
      <c r="V26" s="704"/>
      <c r="W26" s="705"/>
      <c r="X26" s="1350"/>
      <c r="Y26" s="3840"/>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840"/>
      <c r="Q27" s="1338" t="str">
        <f t="shared" si="8"/>
        <v>公共配套设施</v>
      </c>
      <c r="R27" s="700" t="s">
        <v>14</v>
      </c>
      <c r="S27" s="701">
        <f>F27</f>
        <v>100</v>
      </c>
      <c r="T27" s="700" t="s">
        <v>14</v>
      </c>
      <c r="U27" s="701">
        <f>H27</f>
        <v>100</v>
      </c>
      <c r="V27" s="700" t="s">
        <v>14</v>
      </c>
      <c r="W27" s="701">
        <f>J27</f>
        <v>100</v>
      </c>
      <c r="X27" s="702"/>
      <c r="Y27" s="3840"/>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840"/>
      <c r="Q28" s="1338"/>
      <c r="R28" s="700"/>
      <c r="S28" s="701"/>
      <c r="T28" s="700"/>
      <c r="U28" s="701"/>
      <c r="V28" s="700"/>
      <c r="W28" s="701"/>
      <c r="X28" s="702"/>
      <c r="Y28" s="3840"/>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840"/>
      <c r="Q29" s="1338" t="str">
        <f t="shared" ref="Q29" si="9">B29</f>
        <v>基础设施水平</v>
      </c>
      <c r="R29" s="700" t="s">
        <v>14</v>
      </c>
      <c r="S29" s="701">
        <f>F29</f>
        <v>100</v>
      </c>
      <c r="T29" s="700" t="s">
        <v>14</v>
      </c>
      <c r="U29" s="701">
        <f>H29</f>
        <v>100</v>
      </c>
      <c r="V29" s="700" t="s">
        <v>14</v>
      </c>
      <c r="W29" s="701">
        <f>J29</f>
        <v>100</v>
      </c>
      <c r="X29" s="702"/>
      <c r="Y29" s="3840"/>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840"/>
      <c r="Q30" s="1338"/>
      <c r="R30" s="700"/>
      <c r="S30" s="701"/>
      <c r="T30" s="700"/>
      <c r="U30" s="701"/>
      <c r="V30" s="700"/>
      <c r="W30" s="701"/>
      <c r="X30" s="702"/>
      <c r="Y30" s="3840"/>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40"/>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40"/>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40"/>
      <c r="Q32" s="1347" t="str">
        <f t="shared" si="8"/>
        <v>毗邻道路的类型与等级</v>
      </c>
      <c r="R32" s="704" t="s">
        <v>14</v>
      </c>
      <c r="S32" s="705">
        <f t="shared" si="10"/>
        <v>100</v>
      </c>
      <c r="T32" s="704" t="s">
        <v>14</v>
      </c>
      <c r="U32" s="705">
        <f t="shared" si="11"/>
        <v>100</v>
      </c>
      <c r="V32" s="704" t="s">
        <v>14</v>
      </c>
      <c r="W32" s="705">
        <f t="shared" si="12"/>
        <v>100</v>
      </c>
      <c r="X32" s="1350"/>
      <c r="Y32" s="3840"/>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40"/>
      <c r="Q33" s="1347"/>
      <c r="R33" s="704"/>
      <c r="S33" s="705"/>
      <c r="T33" s="704"/>
      <c r="U33" s="705"/>
      <c r="V33" s="704"/>
      <c r="W33" s="705"/>
      <c r="X33" s="1350"/>
      <c r="Y33" s="3840"/>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40"/>
      <c r="Q34" s="1347" t="str">
        <f t="shared" si="8"/>
        <v>土地级别</v>
      </c>
      <c r="R34" s="704" t="s">
        <v>14</v>
      </c>
      <c r="S34" s="705">
        <f t="shared" si="10"/>
        <v>100</v>
      </c>
      <c r="T34" s="704" t="s">
        <v>14</v>
      </c>
      <c r="U34" s="705">
        <f t="shared" si="11"/>
        <v>100</v>
      </c>
      <c r="V34" s="704" t="s">
        <v>14</v>
      </c>
      <c r="W34" s="705">
        <f t="shared" si="12"/>
        <v>100</v>
      </c>
      <c r="X34" s="1350"/>
      <c r="Y34" s="3840"/>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40"/>
      <c r="Q35" s="1347">
        <f t="shared" si="8"/>
        <v>111</v>
      </c>
      <c r="R35" s="704" t="s">
        <v>14</v>
      </c>
      <c r="S35" s="705">
        <f t="shared" si="10"/>
        <v>100</v>
      </c>
      <c r="T35" s="704" t="s">
        <v>14</v>
      </c>
      <c r="U35" s="705">
        <f t="shared" si="11"/>
        <v>100</v>
      </c>
      <c r="V35" s="704" t="s">
        <v>14</v>
      </c>
      <c r="W35" s="705">
        <f t="shared" si="12"/>
        <v>100</v>
      </c>
      <c r="X35" s="1350"/>
      <c r="Y35" s="3840"/>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61" t="s">
        <v>1680</v>
      </c>
      <c r="Q36" s="1347">
        <f t="shared" si="8"/>
        <v>111</v>
      </c>
      <c r="R36" s="704" t="s">
        <v>14</v>
      </c>
      <c r="S36" s="705">
        <f t="shared" si="10"/>
        <v>100</v>
      </c>
      <c r="T36" s="704" t="s">
        <v>14</v>
      </c>
      <c r="U36" s="705">
        <f t="shared" si="11"/>
        <v>100</v>
      </c>
      <c r="V36" s="704" t="s">
        <v>14</v>
      </c>
      <c r="W36" s="705">
        <f t="shared" si="12"/>
        <v>100</v>
      </c>
      <c r="X36" s="1350"/>
      <c r="Y36" s="3844"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44"/>
      <c r="Q37" s="1347">
        <f t="shared" si="8"/>
        <v>111</v>
      </c>
      <c r="R37" s="707" t="s">
        <v>14</v>
      </c>
      <c r="S37" s="708">
        <f t="shared" si="10"/>
        <v>100</v>
      </c>
      <c r="T37" s="707" t="s">
        <v>14</v>
      </c>
      <c r="U37" s="708">
        <f t="shared" si="11"/>
        <v>100</v>
      </c>
      <c r="V37" s="707" t="s">
        <v>14</v>
      </c>
      <c r="W37" s="708">
        <f t="shared" si="12"/>
        <v>100</v>
      </c>
      <c r="X37" s="709"/>
      <c r="Y37" s="3844"/>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44"/>
      <c r="Q38" s="1347" t="str">
        <f>B38</f>
        <v>宗地面积</v>
      </c>
      <c r="R38" s="704" t="s">
        <v>14</v>
      </c>
      <c r="S38" s="705">
        <f t="shared" si="10"/>
        <v>100</v>
      </c>
      <c r="T38" s="704" t="s">
        <v>14</v>
      </c>
      <c r="U38" s="705">
        <f t="shared" si="11"/>
        <v>104</v>
      </c>
      <c r="V38" s="704" t="s">
        <v>14</v>
      </c>
      <c r="W38" s="705">
        <f t="shared" si="12"/>
        <v>106</v>
      </c>
      <c r="X38" s="1350"/>
      <c r="Y38" s="3844"/>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844"/>
      <c r="Q39" s="1347" t="str">
        <f t="shared" ref="Q39:Q45" si="14">B39</f>
        <v>宗地形状</v>
      </c>
      <c r="R39" s="704" t="s">
        <v>14</v>
      </c>
      <c r="S39" s="705">
        <f t="shared" si="10"/>
        <v>100</v>
      </c>
      <c r="T39" s="704" t="s">
        <v>14</v>
      </c>
      <c r="U39" s="705">
        <f t="shared" si="11"/>
        <v>100</v>
      </c>
      <c r="V39" s="704" t="s">
        <v>14</v>
      </c>
      <c r="W39" s="705">
        <f t="shared" si="12"/>
        <v>100</v>
      </c>
      <c r="X39" s="1350"/>
      <c r="Y39" s="3844"/>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844"/>
      <c r="Q40" s="1347" t="str">
        <f t="shared" si="14"/>
        <v>临街宽度及深度</v>
      </c>
      <c r="R40" s="704" t="s">
        <v>14</v>
      </c>
      <c r="S40" s="705">
        <f t="shared" si="10"/>
        <v>100</v>
      </c>
      <c r="T40" s="704" t="s">
        <v>14</v>
      </c>
      <c r="U40" s="705">
        <f t="shared" si="11"/>
        <v>100</v>
      </c>
      <c r="V40" s="704" t="s">
        <v>14</v>
      </c>
      <c r="W40" s="705">
        <f t="shared" si="12"/>
        <v>100</v>
      </c>
      <c r="X40" s="1350"/>
      <c r="Y40" s="3844"/>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844"/>
      <c r="Q41" s="1347" t="str">
        <f t="shared" si="14"/>
        <v>宗地开发程度</v>
      </c>
      <c r="R41" s="700" t="s">
        <v>14</v>
      </c>
      <c r="S41" s="701">
        <f t="shared" si="10"/>
        <v>94</v>
      </c>
      <c r="T41" s="700" t="s">
        <v>14</v>
      </c>
      <c r="U41" s="701">
        <f t="shared" si="11"/>
        <v>94</v>
      </c>
      <c r="V41" s="700" t="s">
        <v>14</v>
      </c>
      <c r="W41" s="701">
        <f t="shared" si="12"/>
        <v>94</v>
      </c>
      <c r="X41" s="702"/>
      <c r="Y41" s="3844"/>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844" t="s">
        <v>1680</v>
      </c>
      <c r="Q42" s="1347" t="str">
        <f t="shared" si="14"/>
        <v>工程地质条件</v>
      </c>
      <c r="R42" s="704" t="s">
        <v>14</v>
      </c>
      <c r="S42" s="705">
        <f t="shared" si="10"/>
        <v>100</v>
      </c>
      <c r="T42" s="704" t="s">
        <v>14</v>
      </c>
      <c r="U42" s="705">
        <f t="shared" si="11"/>
        <v>100</v>
      </c>
      <c r="V42" s="704" t="s">
        <v>14</v>
      </c>
      <c r="W42" s="705">
        <f t="shared" si="12"/>
        <v>100</v>
      </c>
      <c r="X42" s="1350"/>
      <c r="Y42" s="3844"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44"/>
      <c r="Q43" s="1347">
        <f t="shared" si="14"/>
        <v>111</v>
      </c>
      <c r="R43" s="704" t="s">
        <v>14</v>
      </c>
      <c r="S43" s="705">
        <f t="shared" si="10"/>
        <v>100</v>
      </c>
      <c r="T43" s="704" t="s">
        <v>14</v>
      </c>
      <c r="U43" s="705">
        <f t="shared" si="11"/>
        <v>100</v>
      </c>
      <c r="V43" s="704" t="s">
        <v>14</v>
      </c>
      <c r="W43" s="705">
        <f t="shared" si="12"/>
        <v>100</v>
      </c>
      <c r="X43" s="1350"/>
      <c r="Y43" s="3844"/>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44"/>
      <c r="Q44" s="1347">
        <f t="shared" si="14"/>
        <v>111</v>
      </c>
      <c r="R44" s="704" t="s">
        <v>14</v>
      </c>
      <c r="S44" s="705">
        <f t="shared" si="10"/>
        <v>100</v>
      </c>
      <c r="T44" s="704" t="s">
        <v>14</v>
      </c>
      <c r="U44" s="705">
        <f t="shared" si="11"/>
        <v>100</v>
      </c>
      <c r="V44" s="704" t="s">
        <v>14</v>
      </c>
      <c r="W44" s="705">
        <f t="shared" si="12"/>
        <v>100</v>
      </c>
      <c r="X44" s="1350"/>
      <c r="Y44" s="3844"/>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44"/>
      <c r="Q45" s="1347">
        <f t="shared" si="14"/>
        <v>111</v>
      </c>
      <c r="R45" s="707" t="s">
        <v>14</v>
      </c>
      <c r="S45" s="708">
        <f t="shared" si="10"/>
        <v>100</v>
      </c>
      <c r="T45" s="707" t="s">
        <v>14</v>
      </c>
      <c r="U45" s="708">
        <f t="shared" si="11"/>
        <v>100</v>
      </c>
      <c r="V45" s="707" t="s">
        <v>14</v>
      </c>
      <c r="W45" s="708">
        <f t="shared" si="12"/>
        <v>100</v>
      </c>
      <c r="X45" s="709"/>
      <c r="Y45" s="3844"/>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46" t="str">
        <f>A46</f>
        <v>成交单价</v>
      </c>
      <c r="Q46" s="3846"/>
      <c r="R46" s="3833">
        <f>E46</f>
        <v>28065</v>
      </c>
      <c r="S46" s="3833"/>
      <c r="T46" s="3833">
        <f>G46</f>
        <v>31358</v>
      </c>
      <c r="U46" s="3833"/>
      <c r="V46" s="3833">
        <f>I46</f>
        <v>23078</v>
      </c>
      <c r="W46" s="3833"/>
      <c r="X46" s="689"/>
      <c r="Y46" s="711"/>
      <c r="Z46" s="689"/>
      <c r="AA46" s="689"/>
      <c r="AB46" s="689"/>
      <c r="AC46" s="689"/>
    </row>
    <row r="47" spans="1:29" ht="15.75" thickBot="1">
      <c r="A47" s="437" t="s">
        <v>1777</v>
      </c>
      <c r="B47" s="631"/>
      <c r="C47" s="440" t="e">
        <f>R48</f>
        <v>#DIV/0!</v>
      </c>
      <c r="D47" s="2312" t="s">
        <v>2120</v>
      </c>
      <c r="E47" s="440">
        <f>R47</f>
        <v>23240</v>
      </c>
      <c r="F47" s="2313"/>
      <c r="G47" s="439" t="e">
        <f>T47</f>
        <v>#DIV/0!</v>
      </c>
      <c r="H47" s="2313"/>
      <c r="I47" s="440">
        <f>V47</f>
        <v>19361</v>
      </c>
      <c r="J47" s="2313"/>
      <c r="K47" s="2315">
        <f>F47+H47+J47</f>
        <v>0</v>
      </c>
      <c r="L47" s="2695"/>
      <c r="M47" s="2696"/>
      <c r="N47" s="2696"/>
      <c r="O47" s="2696"/>
      <c r="P47" s="3846" t="str">
        <f>A47</f>
        <v>比较价值（元/平方米）</v>
      </c>
      <c r="Q47" s="3846"/>
      <c r="R47" s="3864">
        <f>ROUND(PRODUCT(R46,AA7:AA45),0)</f>
        <v>23240</v>
      </c>
      <c r="S47" s="3864"/>
      <c r="T47" s="3864" t="e">
        <f>ROUND(PRODUCT(T46,AB7:AB45),0)</f>
        <v>#DIV/0!</v>
      </c>
      <c r="U47" s="3864"/>
      <c r="V47" s="3864">
        <f>ROUND(PRODUCT(V46,AC7:AC45),0)</f>
        <v>19361</v>
      </c>
      <c r="W47" s="3864"/>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58" t="str">
        <f>A48</f>
        <v>估价对象XX用房的比较价值（楼面单价，元/平方米）</v>
      </c>
      <c r="Q48" s="3859"/>
      <c r="R48" s="3863" t="e">
        <f>ROUND(IF(D47="简单平均",AVERAGE(R47:W47),R47*F47+T47*H47+V47*J47),0)</f>
        <v>#DIV/0!</v>
      </c>
      <c r="S48" s="3863"/>
      <c r="T48" s="3863"/>
      <c r="U48" s="3863"/>
      <c r="V48" s="3863"/>
      <c r="W48" s="3863"/>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0.20761617900172125</v>
      </c>
      <c r="F51" s="449" t="str">
        <f>IF(OR(E51&gt;=0.3,E51&lt;=-0.3),"超过30%","")</f>
        <v/>
      </c>
      <c r="G51" s="448" t="e">
        <f>IF(G46&lt;G47,G47/G46-1,G46/G47-1)</f>
        <v>#DIV/0!</v>
      </c>
      <c r="H51" s="449" t="e">
        <f>IF(OR(G51&gt;=0.3,G51&lt;=-0.3),"超过30%","")</f>
        <v>#DIV/0!</v>
      </c>
      <c r="I51" s="448">
        <f>IF(I46&lt;I47,I47/I46-1,I46/I47-1)</f>
        <v>0.19198388512990028</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0.20035122152781359</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20" t="s">
        <v>1871</v>
      </c>
      <c r="H55" s="3865"/>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16"/>
      <c r="H56" s="3846"/>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A4"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L29" sqref="L29"/>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492617</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58386</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09" t="s">
        <v>1638</v>
      </c>
      <c r="C5" s="3910"/>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188497</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294414</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9706</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25"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20.14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188497</v>
      </c>
      <c r="C2" s="1382" t="s">
        <v>805</v>
      </c>
      <c r="D2" s="1382"/>
      <c r="E2" s="1383"/>
      <c r="F2" s="1384"/>
      <c r="G2" s="2677"/>
      <c r="H2" s="2666"/>
      <c r="I2" s="2666"/>
      <c r="J2" s="2666"/>
      <c r="K2" s="2667"/>
      <c r="L2" s="2666"/>
      <c r="M2" s="2666"/>
    </row>
    <row r="3" spans="1:37" ht="18" customHeight="1" thickBot="1">
      <c r="A3" s="1385" t="s">
        <v>806</v>
      </c>
      <c r="B3" s="1386">
        <f ca="1">IF(ISERROR(B2*10000/F43),0,ROUND(B2*10000/F43,0))</f>
        <v>54683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14739</v>
      </c>
      <c r="D5" s="1359" t="s">
        <v>693</v>
      </c>
      <c r="E5" s="1067"/>
      <c r="F5" s="1068"/>
      <c r="G5" s="1379"/>
      <c r="H5" s="299">
        <v>1</v>
      </c>
      <c r="I5" s="300" t="s">
        <v>692</v>
      </c>
      <c r="J5" s="1066">
        <f ca="1">J6+J10+J12</f>
        <v>0</v>
      </c>
      <c r="K5" s="1359" t="s">
        <v>693</v>
      </c>
      <c r="L5" s="1067"/>
      <c r="M5" s="1068"/>
    </row>
    <row r="6" spans="1:37" ht="18" customHeight="1">
      <c r="A6" s="1065" t="s">
        <v>398</v>
      </c>
      <c r="B6" s="3775" t="s">
        <v>694</v>
      </c>
      <c r="C6" s="1070">
        <f ca="1">ROUND(F6*F8*F7*(1-F9)/10000,0)</f>
        <v>14721</v>
      </c>
      <c r="D6" s="155" t="s">
        <v>2091</v>
      </c>
      <c r="E6" s="302" t="s">
        <v>696</v>
      </c>
      <c r="F6" s="303">
        <f ca="1">INDIRECT("'数据-取费表'!u"&amp;$G$1)</f>
        <v>13</v>
      </c>
      <c r="G6" s="1379"/>
      <c r="H6" s="1065" t="s">
        <v>398</v>
      </c>
      <c r="I6" s="3775" t="s">
        <v>694</v>
      </c>
      <c r="J6" s="301">
        <f ca="1">ROUND(M6*M8*M7*(1-M9)/10000,0)</f>
        <v>0</v>
      </c>
      <c r="K6" s="155" t="s">
        <v>2090</v>
      </c>
      <c r="L6" s="302" t="s">
        <v>696</v>
      </c>
      <c r="M6" s="303">
        <f ca="1">INDIRECT("'数据-取费表'!z"&amp;$G$1)</f>
        <v>0</v>
      </c>
    </row>
    <row r="7" spans="1:37" ht="18" customHeight="1">
      <c r="A7" s="1069"/>
      <c r="B7" s="3776"/>
      <c r="C7" s="1071"/>
      <c r="D7" s="307"/>
      <c r="E7" s="1072" t="s">
        <v>697</v>
      </c>
      <c r="F7" s="303">
        <f ca="1">IF(INDIRECT("'数据-取费表'!ah"&amp;$G$1)="",INDIRECT("'数据-取费表'!k"&amp;$G$1),INDIRECT("'数据-取费表'!ah"&amp;$G$1))</f>
        <v>34471.17</v>
      </c>
      <c r="G7" s="1379"/>
      <c r="H7" s="304"/>
      <c r="I7" s="3776"/>
      <c r="J7" s="306"/>
      <c r="K7" s="307"/>
      <c r="L7" s="302" t="s">
        <v>697</v>
      </c>
      <c r="M7" s="303">
        <f ca="1">F7</f>
        <v>34471.17</v>
      </c>
    </row>
    <row r="8" spans="1:37" ht="18" customHeight="1">
      <c r="A8" s="304"/>
      <c r="B8" s="3776"/>
      <c r="C8" s="306"/>
      <c r="D8" s="307"/>
      <c r="E8" s="302" t="s">
        <v>698</v>
      </c>
      <c r="F8" s="303">
        <f ca="1">INDIRECT("'数据-取费表'!ai"&amp;$G$1)</f>
        <v>365</v>
      </c>
      <c r="G8" s="1379"/>
      <c r="H8" s="304"/>
      <c r="I8" s="3776"/>
      <c r="J8" s="306"/>
      <c r="K8" s="307"/>
      <c r="L8" s="302" t="s">
        <v>698</v>
      </c>
      <c r="M8" s="303">
        <f ca="1">INDIRECT("'数据-取费表'!ai"&amp;$G$1)</f>
        <v>365</v>
      </c>
    </row>
    <row r="9" spans="1:37" ht="18" customHeight="1">
      <c r="A9" s="304"/>
      <c r="B9" s="3777"/>
      <c r="C9" s="306"/>
      <c r="D9" s="307"/>
      <c r="E9" s="302" t="s">
        <v>699</v>
      </c>
      <c r="F9" s="312">
        <f ca="1">INDIRECT("'数据-取费表'!w"&amp;$G$1)</f>
        <v>0.1</v>
      </c>
      <c r="G9" s="1379"/>
      <c r="H9" s="304"/>
      <c r="I9" s="3777"/>
      <c r="J9" s="306"/>
      <c r="K9" s="307"/>
      <c r="L9" s="313" t="s">
        <v>699</v>
      </c>
      <c r="M9" s="314">
        <f ca="1">INDIRECT("'数据-取费表'!ab"&amp;$G$1)</f>
        <v>0</v>
      </c>
    </row>
    <row r="10" spans="1:37" ht="18" customHeight="1">
      <c r="A10" s="1065" t="s">
        <v>402</v>
      </c>
      <c r="B10" s="1360" t="s">
        <v>700</v>
      </c>
      <c r="C10" s="316">
        <f ca="1">ROUND(IF(F10="押一",C6/12*F11,IF(F10="押二",C6/12*2*F11,IF(F10="押三",C6/12*3*F11,C11*F11))),0)</f>
        <v>18</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28815</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29403</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157</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341</v>
      </c>
      <c r="D20" s="323" t="s">
        <v>729</v>
      </c>
      <c r="E20" s="302" t="s">
        <v>712</v>
      </c>
      <c r="F20" s="322">
        <f>'数据-取费表'!B37</f>
        <v>1.4999999999999999E-2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147.02000000000001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796</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-157</v>
      </c>
      <c r="K25" s="1091" t="s">
        <v>753</v>
      </c>
      <c r="L25" s="1092"/>
      <c r="M25" s="1093"/>
    </row>
    <row r="26" spans="1:37">
      <c r="A26" s="978" t="s">
        <v>397</v>
      </c>
      <c r="B26" s="302" t="s">
        <v>754</v>
      </c>
      <c r="C26" s="21">
        <f ca="1">ROUND((C19+C20)*F26,0)</f>
        <v>3459</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29403</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2727</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2477.91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785.12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1682.4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f ca="1">C13*10000/F7</f>
        <v>8359.1592626534002</v>
      </c>
      <c r="J35" s="1394"/>
      <c r="K35" s="2672"/>
      <c r="L35" s="2671"/>
      <c r="M35" s="2671"/>
    </row>
    <row r="36" spans="1:18" ht="18" customHeight="1">
      <c r="A36" s="1098" t="s">
        <v>402</v>
      </c>
      <c r="B36" s="302" t="s">
        <v>738</v>
      </c>
      <c r="C36" s="21">
        <f ca="1">ROUND(C29*F36,2)</f>
        <v>147.02000000000001</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28.82</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73.7</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12012</v>
      </c>
      <c r="D39" s="1091" t="s">
        <v>773</v>
      </c>
      <c r="E39" s="1092"/>
      <c r="F39" s="1093"/>
      <c r="G39" s="1379"/>
      <c r="H39" s="2671"/>
      <c r="I39" s="1393">
        <f ca="1">C39/C5</f>
        <v>0.81498066354569509</v>
      </c>
      <c r="J39" s="1394"/>
      <c r="K39" s="2675"/>
      <c r="L39" s="2671"/>
      <c r="M39" s="2671"/>
    </row>
    <row r="40" spans="1:18" ht="18" customHeight="1">
      <c r="A40" s="299" t="s">
        <v>395</v>
      </c>
      <c r="B40" s="300" t="s">
        <v>774</v>
      </c>
      <c r="C40" s="301">
        <f ca="1">ROUND(C39*(1-((1+F42)/(1+F40))^F41)/(F40-F42),0)</f>
        <v>184057</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20.14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53394</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-186288</v>
      </c>
      <c r="D46" s="1401" t="str">
        <f>C2</f>
        <v>万元</v>
      </c>
      <c r="E46" s="1395"/>
      <c r="F46" s="1395"/>
      <c r="I46" s="1402" t="s">
        <v>810</v>
      </c>
      <c r="J46" s="1403"/>
      <c r="K46" s="1404"/>
      <c r="L46" s="1405">
        <f ca="1">IF(M47="住宅",0,IF(L48&gt;J51,L60,J60))</f>
        <v>4440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184057</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20.14</v>
      </c>
      <c r="O48" s="1413" t="s">
        <v>404</v>
      </c>
      <c r="P48" s="1414" t="s">
        <v>821</v>
      </c>
      <c r="Q48" s="1415">
        <f ca="1">J60</f>
        <v>4440</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29403</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0.64800000000000002</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188662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20.14</v>
      </c>
      <c r="K53" s="3778" t="s">
        <v>837</v>
      </c>
      <c r="L53" s="3779"/>
      <c r="O53" s="1413" t="s">
        <v>409</v>
      </c>
      <c r="P53" s="1414" t="s">
        <v>838</v>
      </c>
      <c r="Q53" s="1415">
        <f ca="1">Q47+Q48</f>
        <v>188497</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0.64800000000000002</v>
      </c>
      <c r="K55" s="1440" t="s">
        <v>841</v>
      </c>
      <c r="L55" s="1441"/>
      <c r="O55" s="1406" t="s">
        <v>811</v>
      </c>
      <c r="P55" s="1407" t="s">
        <v>812</v>
      </c>
      <c r="Q55" s="1408" t="s">
        <v>813</v>
      </c>
      <c r="R55" s="1408" t="s">
        <v>814</v>
      </c>
    </row>
    <row r="56" spans="1:18" s="1379" customFormat="1" ht="25.5" thickTop="1" thickBot="1">
      <c r="A56" s="953">
        <v>2</v>
      </c>
      <c r="B56" s="954" t="s">
        <v>704</v>
      </c>
      <c r="C56" s="232">
        <f ca="1">C13</f>
        <v>28815</v>
      </c>
      <c r="D56" s="1442"/>
      <c r="E56" s="1443"/>
      <c r="F56" s="1435"/>
      <c r="I56" s="1444" t="s">
        <v>842</v>
      </c>
      <c r="J56" s="1445" t="s">
        <v>3386</v>
      </c>
      <c r="K56" s="1416" t="s">
        <v>843</v>
      </c>
      <c r="L56" s="1419" t="str">
        <f ca="1">IF(L48&lt;J51,"——",L48-J53)</f>
        <v>——</v>
      </c>
      <c r="O56" s="1413" t="s">
        <v>403</v>
      </c>
      <c r="P56" s="1414" t="s">
        <v>817</v>
      </c>
      <c r="Q56" s="1415">
        <f ca="1">C40+J29</f>
        <v>184057</v>
      </c>
      <c r="R56" s="1415" t="s">
        <v>818</v>
      </c>
    </row>
    <row r="57" spans="1:18" s="1379" customFormat="1" ht="24.75" thickBot="1">
      <c r="A57" s="1446"/>
      <c r="B57" s="946" t="s">
        <v>767</v>
      </c>
      <c r="C57" s="238">
        <f ca="1">C29</f>
        <v>29403</v>
      </c>
      <c r="D57" s="1447"/>
      <c r="E57" s="1448"/>
      <c r="F57" s="1449"/>
      <c r="I57" s="1450" t="s">
        <v>844</v>
      </c>
      <c r="J57" s="1451">
        <f ca="1">IF(OR(M47="住宅",J51&lt;L48,J56="是"),"——",J51-L48)</f>
        <v>38.86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186</v>
      </c>
      <c r="D58" s="956" t="s">
        <v>715</v>
      </c>
      <c r="E58" s="957"/>
      <c r="F58" s="958"/>
      <c r="I58" s="1450" t="s">
        <v>848</v>
      </c>
      <c r="J58" s="1452">
        <f ca="1">IF(J55&lt;0.4,0.4,J55)</f>
        <v>0.64800000000000002</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19053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4440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184057</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147.02000000000001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28.82</v>
      </c>
      <c r="D65" s="960" t="s">
        <v>743</v>
      </c>
      <c r="E65" s="946" t="s">
        <v>744</v>
      </c>
      <c r="F65" s="330">
        <f t="shared" ca="1" si="0"/>
        <v>1E-3</v>
      </c>
      <c r="I65" s="1457" t="s">
        <v>867</v>
      </c>
      <c r="J65" s="1458">
        <v>40</v>
      </c>
      <c r="K65" s="1458">
        <v>30</v>
      </c>
      <c r="L65" s="1458">
        <v>50</v>
      </c>
      <c r="M65" s="1460">
        <v>0.02</v>
      </c>
      <c r="O65" s="1413" t="s">
        <v>403</v>
      </c>
      <c r="P65" s="1414" t="s">
        <v>868</v>
      </c>
      <c r="Q65" s="1415">
        <f ca="1">C40+J29</f>
        <v>184057</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-186</v>
      </c>
      <c r="D67" s="959" t="s">
        <v>753</v>
      </c>
      <c r="E67" s="964"/>
      <c r="F67" s="965"/>
      <c r="O67" s="1423" t="s">
        <v>405</v>
      </c>
      <c r="P67" s="1414" t="s">
        <v>850</v>
      </c>
      <c r="Q67" s="1461">
        <f ca="1">L51</f>
        <v>188662</v>
      </c>
      <c r="R67" s="1415" t="s">
        <v>870</v>
      </c>
    </row>
    <row r="68" spans="1:18" s="1379" customFormat="1" ht="16.5" thickBot="1">
      <c r="A68" s="943" t="s">
        <v>395</v>
      </c>
      <c r="B68" s="944" t="s">
        <v>774</v>
      </c>
      <c r="C68" s="301">
        <f ca="1">ROUND(C67*(1-((1+F70)/(1+F68))^F69)/(F68-F70),0)</f>
        <v>-2231</v>
      </c>
      <c r="D68" s="961" t="s">
        <v>758</v>
      </c>
      <c r="E68" s="946" t="s">
        <v>759</v>
      </c>
      <c r="F68" s="312">
        <f ca="1">F40</f>
        <v>5.5E-2</v>
      </c>
      <c r="O68" s="1423" t="s">
        <v>406</v>
      </c>
      <c r="P68" s="1462" t="s">
        <v>871</v>
      </c>
      <c r="Q68" s="1415">
        <f ca="1">ROUND(Q69-Q70*Q71,0)</f>
        <v>9995</v>
      </c>
      <c r="R68" s="1415" t="s">
        <v>414</v>
      </c>
    </row>
    <row r="69" spans="1:18" s="1379" customFormat="1" ht="13.5" thickBot="1">
      <c r="A69" s="947"/>
      <c r="B69" s="948"/>
      <c r="C69" s="306"/>
      <c r="D69" s="966" t="s">
        <v>762</v>
      </c>
      <c r="E69" s="946" t="s">
        <v>763</v>
      </c>
      <c r="F69" s="333">
        <f ca="1">F41</f>
        <v>20.14</v>
      </c>
      <c r="O69" s="1423" t="s">
        <v>411</v>
      </c>
      <c r="P69" s="1462" t="s">
        <v>872</v>
      </c>
      <c r="Q69" s="1415">
        <f ca="1">C39</f>
        <v>12012</v>
      </c>
      <c r="R69" s="1415" t="s">
        <v>818</v>
      </c>
    </row>
    <row r="70" spans="1:18" s="1379" customFormat="1" ht="13.5" thickBot="1">
      <c r="A70" s="950"/>
      <c r="B70" s="951"/>
      <c r="C70" s="310"/>
      <c r="D70" s="962"/>
      <c r="E70" s="946" t="s">
        <v>766</v>
      </c>
      <c r="F70" s="1050"/>
      <c r="O70" s="1423" t="s">
        <v>412</v>
      </c>
      <c r="P70" s="1462" t="s">
        <v>873</v>
      </c>
      <c r="Q70" s="1415">
        <f ca="1">C13</f>
        <v>28815</v>
      </c>
      <c r="R70" s="1415" t="s">
        <v>818</v>
      </c>
    </row>
    <row r="71" spans="1:18" s="1379" customFormat="1" ht="13.5" thickBot="1">
      <c r="A71" s="967" t="s">
        <v>396</v>
      </c>
      <c r="B71" s="968" t="s">
        <v>776</v>
      </c>
      <c r="C71" s="336">
        <f ca="1">ROUND(C68*10000/F71,0)</f>
        <v>-647</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2017</v>
      </c>
      <c r="D75" s="1379"/>
      <c r="E75" s="1379"/>
      <c r="F75" s="1379"/>
      <c r="K75" s="1397"/>
      <c r="L75" s="1379"/>
      <c r="O75" s="1413" t="s">
        <v>409</v>
      </c>
      <c r="P75" s="1414" t="s">
        <v>838</v>
      </c>
      <c r="Q75" s="1415">
        <f ca="1">Q65+Q66</f>
        <v>184057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22" zoomScale="90" zoomScaleNormal="70" zoomScaleSheetLayoutView="9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30.14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294414</v>
      </c>
      <c r="C2" s="1382" t="s">
        <v>805</v>
      </c>
      <c r="D2" s="1382"/>
      <c r="E2" s="1383"/>
      <c r="F2" s="1384"/>
      <c r="G2" s="2677"/>
      <c r="H2" s="2666"/>
      <c r="I2" s="2666"/>
      <c r="J2" s="2666"/>
      <c r="K2" s="2667"/>
      <c r="L2" s="2666"/>
      <c r="M2" s="2666"/>
    </row>
    <row r="3" spans="1:37" ht="18" customHeight="1" thickBot="1">
      <c r="A3" s="1385" t="s">
        <v>806</v>
      </c>
      <c r="B3" s="1386">
        <f ca="1">IF(ISERROR(B2*10000/F43),0,ROUND(B2*10000/F43,0))</f>
        <v>83401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17416</v>
      </c>
      <c r="D5" s="1359" t="s">
        <v>693</v>
      </c>
      <c r="E5" s="1067"/>
      <c r="F5" s="1068"/>
      <c r="G5" s="1379"/>
      <c r="H5" s="299">
        <v>1</v>
      </c>
      <c r="I5" s="300" t="s">
        <v>692</v>
      </c>
      <c r="J5" s="1066">
        <f ca="1">J6+J10+J12</f>
        <v>0</v>
      </c>
      <c r="K5" s="1359" t="s">
        <v>693</v>
      </c>
      <c r="L5" s="1067"/>
      <c r="M5" s="1068"/>
    </row>
    <row r="6" spans="1:37" ht="18" customHeight="1">
      <c r="A6" s="1065" t="s">
        <v>398</v>
      </c>
      <c r="B6" s="3775" t="s">
        <v>694</v>
      </c>
      <c r="C6" s="1070">
        <f ca="1">ROUND(F6*F8*F7*(1-F9)/10000,0)</f>
        <v>17394</v>
      </c>
      <c r="D6" s="155" t="s">
        <v>2091</v>
      </c>
      <c r="E6" s="302" t="s">
        <v>696</v>
      </c>
      <c r="F6" s="303">
        <f ca="1">INDIRECT("'数据-取费表'!u"&amp;$G$1)</f>
        <v>15</v>
      </c>
      <c r="G6" s="1379"/>
      <c r="H6" s="1065" t="s">
        <v>398</v>
      </c>
      <c r="I6" s="3775" t="s">
        <v>694</v>
      </c>
      <c r="J6" s="301">
        <f ca="1">ROUND(M6*M8*M7*(1-M9)/10000,0)</f>
        <v>0</v>
      </c>
      <c r="K6" s="155" t="s">
        <v>2090</v>
      </c>
      <c r="L6" s="302" t="s">
        <v>696</v>
      </c>
      <c r="M6" s="303">
        <f ca="1">INDIRECT("'数据-取费表'!z"&amp;$G$1)</f>
        <v>0</v>
      </c>
    </row>
    <row r="7" spans="1:37" ht="18" customHeight="1">
      <c r="A7" s="1069"/>
      <c r="B7" s="3776"/>
      <c r="C7" s="1071"/>
      <c r="D7" s="307"/>
      <c r="E7" s="3422" t="s">
        <v>697</v>
      </c>
      <c r="F7" s="303">
        <f ca="1">IF(INDIRECT("'数据-取费表'!ah"&amp;$G$1)="",INDIRECT("'数据-取费表'!k"&amp;$G$1),INDIRECT("'数据-取费表'!ah"&amp;$G$1))</f>
        <v>35300.840000000011</v>
      </c>
      <c r="G7" s="1379"/>
      <c r="H7" s="304"/>
      <c r="I7" s="3776"/>
      <c r="J7" s="306"/>
      <c r="K7" s="307"/>
      <c r="L7" s="302" t="s">
        <v>697</v>
      </c>
      <c r="M7" s="303">
        <f ca="1">F7</f>
        <v>35300.840000000011</v>
      </c>
    </row>
    <row r="8" spans="1:37" ht="18" customHeight="1">
      <c r="A8" s="304"/>
      <c r="B8" s="3776"/>
      <c r="C8" s="306"/>
      <c r="D8" s="307"/>
      <c r="E8" s="302" t="s">
        <v>698</v>
      </c>
      <c r="F8" s="303">
        <f ca="1">INDIRECT("'数据-取费表'!ai"&amp;$G$1)</f>
        <v>365</v>
      </c>
      <c r="G8" s="1379"/>
      <c r="H8" s="304"/>
      <c r="I8" s="3776"/>
      <c r="J8" s="306"/>
      <c r="K8" s="307"/>
      <c r="L8" s="302" t="s">
        <v>698</v>
      </c>
      <c r="M8" s="303">
        <f ca="1">INDIRECT("'数据-取费表'!ai"&amp;$G$1)</f>
        <v>365</v>
      </c>
    </row>
    <row r="9" spans="1:37" ht="18" customHeight="1">
      <c r="A9" s="304"/>
      <c r="B9" s="3777"/>
      <c r="C9" s="306"/>
      <c r="D9" s="307"/>
      <c r="E9" s="302" t="s">
        <v>699</v>
      </c>
      <c r="F9" s="312">
        <f ca="1">INDIRECT("'数据-取费表'!w"&amp;$G$1)</f>
        <v>0.1</v>
      </c>
      <c r="G9" s="1379"/>
      <c r="H9" s="304"/>
      <c r="I9" s="3777"/>
      <c r="J9" s="306"/>
      <c r="K9" s="307"/>
      <c r="L9" s="313" t="s">
        <v>699</v>
      </c>
      <c r="M9" s="314">
        <f ca="1">INDIRECT("'数据-取费表'!ab"&amp;$G$1)</f>
        <v>0</v>
      </c>
    </row>
    <row r="10" spans="1:37" ht="18" customHeight="1">
      <c r="A10" s="1065" t="s">
        <v>402</v>
      </c>
      <c r="B10" s="1360" t="s">
        <v>700</v>
      </c>
      <c r="C10" s="316">
        <f ca="1">ROUND(IF(F10="押一",C6/12*F11,IF(F10="押二",C6/12*2*F11,IF(F10="押三",C6/12*3*F11,C11*F11))),0)</f>
        <v>22</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29509</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30111</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161</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349</v>
      </c>
      <c r="D20" s="2422" t="s">
        <v>729</v>
      </c>
      <c r="E20" s="302" t="s">
        <v>712</v>
      </c>
      <c r="F20" s="322">
        <f>'数据-取费表'!B37</f>
        <v>1.4999999999999999E-2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150.56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815</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-161</v>
      </c>
      <c r="K25" s="1091" t="s">
        <v>753</v>
      </c>
      <c r="L25" s="1092"/>
      <c r="M25" s="1093"/>
    </row>
    <row r="26" spans="1:37">
      <c r="A26" s="978" t="s">
        <v>397</v>
      </c>
      <c r="B26" s="302" t="s">
        <v>754</v>
      </c>
      <c r="C26" s="21">
        <f ca="1">ROUND((C19+C20)*F26,0)</f>
        <v>3542</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30111</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3193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2926.21</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927.68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1987.89</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150.56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29.51</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87.08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14223</v>
      </c>
      <c r="D39" s="1091" t="s">
        <v>753</v>
      </c>
      <c r="E39" s="1092"/>
      <c r="F39" s="1093"/>
      <c r="G39" s="1379"/>
      <c r="H39" s="2671"/>
      <c r="I39" s="1393">
        <f ca="1">C39/C5</f>
        <v>0.81666283876894807</v>
      </c>
      <c r="J39" s="1394"/>
      <c r="K39" s="2675"/>
      <c r="L39" s="2671"/>
      <c r="M39" s="2671"/>
    </row>
    <row r="40" spans="1:18" ht="18" customHeight="1">
      <c r="A40" s="299" t="s">
        <v>395</v>
      </c>
      <c r="B40" s="300" t="s">
        <v>774</v>
      </c>
      <c r="C40" s="301">
        <f ca="1">ROUND(C39*(1-((1+F42)/(1+F40))^F41)/(F40-F42),0)</f>
        <v>292776</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f ca="1">C13*10000/F7</f>
        <v>8359.2911670090543</v>
      </c>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82937</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-295557</v>
      </c>
      <c r="D46" s="1401" t="str">
        <f>C2</f>
        <v>万元</v>
      </c>
      <c r="E46" s="1395"/>
      <c r="F46" s="1395"/>
      <c r="I46" s="1402" t="s">
        <v>810</v>
      </c>
      <c r="J46" s="1403"/>
      <c r="K46" s="1404"/>
      <c r="L46" s="1405">
        <f ca="1">IF(M47="住宅",0,IF(L48&gt;J51,L60,J60))</f>
        <v>1638</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292776</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30.14</v>
      </c>
      <c r="O48" s="1413" t="s">
        <v>404</v>
      </c>
      <c r="P48" s="1414" t="s">
        <v>821</v>
      </c>
      <c r="Q48" s="1415">
        <f ca="1">J60</f>
        <v>1638</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30111</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229480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778" t="s">
        <v>837</v>
      </c>
      <c r="L53" s="3779"/>
      <c r="O53" s="1413" t="s">
        <v>409</v>
      </c>
      <c r="P53" s="1414" t="s">
        <v>838</v>
      </c>
      <c r="Q53" s="1415">
        <f ca="1">Q47+Q48</f>
        <v>294414</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29509</v>
      </c>
      <c r="D56" s="1442"/>
      <c r="E56" s="1443"/>
      <c r="F56" s="1435"/>
      <c r="I56" s="1444" t="s">
        <v>842</v>
      </c>
      <c r="J56" s="1445" t="s">
        <v>3386</v>
      </c>
      <c r="K56" s="1416" t="s">
        <v>843</v>
      </c>
      <c r="L56" s="1419" t="str">
        <f ca="1">IF(L48&lt;J51,"——",L48-J53)</f>
        <v>——</v>
      </c>
      <c r="O56" s="1413" t="s">
        <v>403</v>
      </c>
      <c r="P56" s="1414" t="s">
        <v>817</v>
      </c>
      <c r="Q56" s="1415">
        <f ca="1">C40+J29</f>
        <v>292776</v>
      </c>
      <c r="R56" s="1415" t="s">
        <v>818</v>
      </c>
    </row>
    <row r="57" spans="1:18" s="1379" customFormat="1" ht="24.75" thickBot="1">
      <c r="A57" s="1446"/>
      <c r="B57" s="946" t="s">
        <v>767</v>
      </c>
      <c r="C57" s="238">
        <f ca="1">C29</f>
        <v>30111</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191</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14483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1638</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292776</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150.56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29.51</v>
      </c>
      <c r="D65" s="960" t="s">
        <v>743</v>
      </c>
      <c r="E65" s="946" t="s">
        <v>712</v>
      </c>
      <c r="F65" s="330">
        <f t="shared" ca="1" si="0"/>
        <v>1E-3</v>
      </c>
      <c r="I65" s="1457" t="s">
        <v>867</v>
      </c>
      <c r="J65" s="1458">
        <v>40</v>
      </c>
      <c r="K65" s="1458">
        <v>30</v>
      </c>
      <c r="L65" s="1458">
        <v>50</v>
      </c>
      <c r="M65" s="1460">
        <v>0.02</v>
      </c>
      <c r="O65" s="1413" t="s">
        <v>403</v>
      </c>
      <c r="P65" s="1414" t="s">
        <v>817</v>
      </c>
      <c r="Q65" s="1415">
        <f ca="1">C40+J29</f>
        <v>292776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-191</v>
      </c>
      <c r="D67" s="959" t="s">
        <v>753</v>
      </c>
      <c r="E67" s="964"/>
      <c r="F67" s="965"/>
      <c r="O67" s="1423" t="s">
        <v>405</v>
      </c>
      <c r="P67" s="1414" t="s">
        <v>850</v>
      </c>
      <c r="Q67" s="1461">
        <f ca="1">L51</f>
        <v>229480</v>
      </c>
      <c r="R67" s="1415" t="s">
        <v>870</v>
      </c>
    </row>
    <row r="68" spans="1:18" s="1379" customFormat="1" ht="16.5" thickBot="1">
      <c r="A68" s="943" t="s">
        <v>395</v>
      </c>
      <c r="B68" s="944" t="s">
        <v>774</v>
      </c>
      <c r="C68" s="301">
        <f ca="1">ROUND(C67*(1-((1+F70)/(1+F68))^F69)/(F68-F70),0)</f>
        <v>-2781</v>
      </c>
      <c r="D68" s="961" t="s">
        <v>758</v>
      </c>
      <c r="E68" s="946" t="s">
        <v>759</v>
      </c>
      <c r="F68" s="312">
        <f ca="1">F40</f>
        <v>5.5E-2</v>
      </c>
      <c r="O68" s="1423" t="s">
        <v>406</v>
      </c>
      <c r="P68" s="1462" t="s">
        <v>871</v>
      </c>
      <c r="Q68" s="1415">
        <f ca="1">ROUND(Q69-Q70*Q71,0)</f>
        <v>12157</v>
      </c>
      <c r="R68" s="1415" t="s">
        <v>414</v>
      </c>
    </row>
    <row r="69" spans="1:18" s="1379" customFormat="1" ht="13.5" thickBot="1">
      <c r="A69" s="947"/>
      <c r="B69" s="948"/>
      <c r="C69" s="306"/>
      <c r="D69" s="966" t="s">
        <v>762</v>
      </c>
      <c r="E69" s="946" t="s">
        <v>763</v>
      </c>
      <c r="F69" s="333">
        <f ca="1">F41</f>
        <v>30.14</v>
      </c>
      <c r="O69" s="1423" t="s">
        <v>411</v>
      </c>
      <c r="P69" s="1462" t="s">
        <v>872</v>
      </c>
      <c r="Q69" s="1415">
        <f ca="1">C39</f>
        <v>14223</v>
      </c>
      <c r="R69" s="1415" t="s">
        <v>818</v>
      </c>
    </row>
    <row r="70" spans="1:18" s="1379" customFormat="1" ht="13.5" thickBot="1">
      <c r="A70" s="950"/>
      <c r="B70" s="951"/>
      <c r="C70" s="310"/>
      <c r="D70" s="962"/>
      <c r="E70" s="946" t="s">
        <v>766</v>
      </c>
      <c r="F70" s="1050"/>
      <c r="O70" s="1423" t="s">
        <v>412</v>
      </c>
      <c r="P70" s="1462" t="s">
        <v>873</v>
      </c>
      <c r="Q70" s="1415">
        <f ca="1">C13</f>
        <v>29509</v>
      </c>
      <c r="R70" s="1415" t="s">
        <v>818</v>
      </c>
    </row>
    <row r="71" spans="1:18" s="1379" customFormat="1" ht="13.5" thickBot="1">
      <c r="A71" s="967" t="s">
        <v>396</v>
      </c>
      <c r="B71" s="968" t="s">
        <v>776</v>
      </c>
      <c r="C71" s="336">
        <f ca="1">ROUND(C68*10000/F71,0)</f>
        <v>-788</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2066</v>
      </c>
      <c r="D75" s="1379"/>
      <c r="E75" s="1379"/>
      <c r="F75" s="1379"/>
      <c r="K75" s="1397"/>
      <c r="L75" s="1379"/>
      <c r="O75" s="1413" t="s">
        <v>409</v>
      </c>
      <c r="P75" s="1414" t="s">
        <v>838</v>
      </c>
      <c r="Q75" s="1415">
        <f ca="1">Q65+Q66</f>
        <v>292776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0.89900000000000002</v>
      </c>
    </row>
    <row r="83" spans="2:3">
      <c r="B83" s="273" t="s">
        <v>803</v>
      </c>
      <c r="C83" s="274">
        <f ca="1">ROUND(C13/C40,3)</f>
        <v>0.10100000000000001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96" t="str">
        <f>IF(项目基本情况!B9="房地产市场价值","估价结果一览表","结果表-2")</f>
        <v>估价结果一览表</v>
      </c>
      <c r="B1" s="3596"/>
      <c r="C1" s="3596"/>
      <c r="D1" s="3596"/>
      <c r="E1" s="3596"/>
      <c r="F1" s="3596"/>
      <c r="G1" s="3596"/>
      <c r="H1" s="3596"/>
      <c r="I1" s="3596"/>
    </row>
    <row r="2" spans="1:9" ht="30" customHeight="1" thickTop="1">
      <c r="A2" s="3597" t="s">
        <v>928</v>
      </c>
      <c r="B2" s="3597" t="s">
        <v>929</v>
      </c>
      <c r="C2" s="3597" t="s">
        <v>930</v>
      </c>
      <c r="D2" s="3597" t="str">
        <f>结果表!D116</f>
        <v>出让国有建设用地使用权价值</v>
      </c>
      <c r="E2" s="3597"/>
      <c r="F2" s="3597" t="str">
        <f>结果表!F116</f>
        <v>在建建筑物价值</v>
      </c>
      <c r="G2" s="3597"/>
      <c r="H2" s="3597" t="str">
        <f>IF(项目基本情况!B9="房地产市场价值","房地产市场价值","房地产价值")</f>
        <v>房地产市场价值</v>
      </c>
      <c r="I2" s="3597"/>
    </row>
    <row r="3" spans="1:9" ht="15">
      <c r="A3" s="3598"/>
      <c r="B3" s="3598"/>
      <c r="C3" s="3598"/>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475803</v>
      </c>
      <c r="E4" s="850">
        <f ca="1">结果表!E118</f>
        <v>56393</v>
      </c>
      <c r="F4" s="850">
        <f ca="1">结果表!F118</f>
        <v>96076</v>
      </c>
      <c r="G4" s="850">
        <f ca="1">结果表!G118</f>
        <v>11387</v>
      </c>
      <c r="H4" s="850">
        <f ca="1">结果表!H118</f>
        <v>571879</v>
      </c>
      <c r="I4" s="850">
        <f ca="1">结果表!I118</f>
        <v>67780</v>
      </c>
    </row>
    <row r="5" spans="1:9" ht="30" customHeight="1">
      <c r="A5" s="3598" t="s">
        <v>927</v>
      </c>
      <c r="B5" s="3598"/>
      <c r="C5" s="3598"/>
      <c r="D5" s="3598" t="str">
        <f ca="1">结果表!D119</f>
        <v>肆拾柒亿伍仟捌佰零叁万元整</v>
      </c>
      <c r="E5" s="3598"/>
      <c r="F5" s="3598" t="str">
        <f ca="1">结果表!F119</f>
        <v>玖亿陆仟零柒拾陆万元整</v>
      </c>
      <c r="G5" s="3598"/>
      <c r="H5" s="3598" t="str">
        <f ca="1">结果表!H119</f>
        <v>伍拾柒亿壹仟捌佰柒拾玖万元整</v>
      </c>
      <c r="I5" s="3598"/>
    </row>
    <row r="6" spans="1:9" ht="15.75">
      <c r="A6" s="3599" t="str">
        <f>结果表!A120</f>
        <v/>
      </c>
      <c r="B6" s="3599"/>
      <c r="C6" s="3599"/>
      <c r="D6" s="3599">
        <f>结果表!D120</f>
        <v>0</v>
      </c>
      <c r="E6" s="3599"/>
      <c r="F6" s="3599"/>
      <c r="G6" s="3599"/>
      <c r="H6" s="3599"/>
      <c r="I6" s="3599"/>
    </row>
    <row r="7" spans="1:9" ht="15">
      <c r="A7" s="3598" t="s">
        <v>927</v>
      </c>
      <c r="B7" s="3598"/>
      <c r="C7" s="3598"/>
      <c r="D7" s="3600" t="str">
        <f>结果表!D121</f>
        <v>零元整</v>
      </c>
      <c r="E7" s="3601"/>
      <c r="F7" s="3601"/>
      <c r="G7" s="3601"/>
      <c r="H7" s="3601"/>
      <c r="I7" s="3602"/>
    </row>
    <row r="8" spans="1:9" ht="15.75">
      <c r="A8" s="3599" t="str">
        <f>结果表!A122</f>
        <v/>
      </c>
      <c r="B8" s="3599"/>
      <c r="C8" s="3599"/>
      <c r="D8" s="3599">
        <f ca="1">结果表!D122</f>
        <v>571879</v>
      </c>
      <c r="E8" s="3599"/>
      <c r="F8" s="3599"/>
      <c r="G8" s="3599"/>
      <c r="H8" s="3599"/>
      <c r="I8" s="3599"/>
    </row>
    <row r="9" spans="1:9" ht="15">
      <c r="A9" s="3598" t="s">
        <v>927</v>
      </c>
      <c r="B9" s="3598"/>
      <c r="C9" s="3598"/>
      <c r="D9" s="3598" t="str">
        <f ca="1">结果表!D123</f>
        <v>伍拾柒亿壹仟捌佰柒拾玖万元整</v>
      </c>
      <c r="E9" s="3598"/>
      <c r="F9" s="3598"/>
      <c r="G9" s="3598"/>
      <c r="H9" s="3598"/>
      <c r="I9" s="3598"/>
    </row>
    <row r="10" spans="1:9" ht="15.75">
      <c r="A10" s="3599" t="str">
        <f>结果表!A124</f>
        <v/>
      </c>
      <c r="B10" s="3599"/>
      <c r="C10" s="3599"/>
      <c r="D10" s="3599" t="str">
        <f>结果表!D124</f>
        <v>——</v>
      </c>
      <c r="E10" s="3599"/>
      <c r="F10" s="3599"/>
      <c r="G10" s="3599"/>
      <c r="H10" s="3599"/>
      <c r="I10" s="3599"/>
    </row>
    <row r="11" spans="1:9" ht="15">
      <c r="A11" s="3598" t="s">
        <v>927</v>
      </c>
      <c r="B11" s="3598"/>
      <c r="C11" s="3598"/>
      <c r="D11" s="3598" t="e">
        <f>结果表!D125</f>
        <v>#VALUE!</v>
      </c>
      <c r="E11" s="3598"/>
      <c r="F11" s="3598"/>
      <c r="G11" s="3598"/>
      <c r="H11" s="3598"/>
      <c r="I11" s="3598"/>
    </row>
    <row r="12" spans="1:9" ht="15.75">
      <c r="A12" s="3599" t="str">
        <f>结果表!A126</f>
        <v/>
      </c>
      <c r="B12" s="3599"/>
      <c r="C12" s="3599"/>
      <c r="D12" s="3599">
        <f ca="1">结果表!D126</f>
        <v>513861</v>
      </c>
      <c r="E12" s="3599"/>
      <c r="F12" s="3599"/>
      <c r="G12" s="3599"/>
      <c r="H12" s="3599"/>
      <c r="I12" s="3599"/>
    </row>
    <row r="13" spans="1:9" ht="15.75" thickBot="1">
      <c r="A13" s="3603" t="s">
        <v>927</v>
      </c>
      <c r="B13" s="3603"/>
      <c r="C13" s="3603"/>
      <c r="D13" s="3603" t="str">
        <f ca="1">结果表!D127</f>
        <v>伍拾壹亿叁仟捌佰陆拾壹万元整</v>
      </c>
      <c r="E13" s="3603"/>
      <c r="F13" s="3603"/>
      <c r="G13" s="3603"/>
      <c r="H13" s="3603"/>
      <c r="I13" s="3603"/>
    </row>
    <row r="14" spans="1:9" ht="15" thickTop="1">
      <c r="A14" s="3604" t="s">
        <v>932</v>
      </c>
      <c r="B14" s="3604"/>
      <c r="C14" s="3604"/>
      <c r="D14" s="3604"/>
      <c r="E14" s="3604"/>
      <c r="F14" s="3604"/>
      <c r="G14" s="3604"/>
      <c r="H14" s="3604"/>
      <c r="I14" s="360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90" t="s">
        <v>4351</v>
      </c>
      <c r="C1" s="3490" t="s">
        <v>4352</v>
      </c>
      <c r="D1" s="3490" t="s">
        <v>4354</v>
      </c>
      <c r="E1" s="3490" t="s">
        <v>4355</v>
      </c>
      <c r="F1" s="3490" t="s">
        <v>4357</v>
      </c>
      <c r="G1" s="3490" t="s">
        <v>4358</v>
      </c>
      <c r="H1" s="3490" t="s">
        <v>4359</v>
      </c>
      <c r="I1" s="3490" t="s">
        <v>4360</v>
      </c>
      <c r="J1" s="3490" t="s">
        <v>4361</v>
      </c>
    </row>
    <row r="2" spans="1:11">
      <c r="A2" s="3225">
        <v>1</v>
      </c>
      <c r="B2" s="3558" t="s">
        <v>4350</v>
      </c>
      <c r="C2" s="3558" t="s">
        <v>4353</v>
      </c>
      <c r="D2" s="3225">
        <v>77</v>
      </c>
      <c r="E2" s="3558" t="s">
        <v>4356</v>
      </c>
      <c r="F2" s="3225">
        <v>335.42</v>
      </c>
      <c r="G2" s="3225">
        <v>335.42</v>
      </c>
      <c r="H2" s="3225">
        <v>335.42</v>
      </c>
      <c r="I2" s="3225">
        <v>355.19</v>
      </c>
      <c r="J2" s="3225">
        <v>355.19</v>
      </c>
      <c r="K2" s="3225"/>
    </row>
    <row r="3" spans="1:11">
      <c r="A3" s="3225"/>
      <c r="B3" s="3225"/>
      <c r="C3" s="3225"/>
      <c r="D3" s="3225"/>
      <c r="E3" s="3558" t="s">
        <v>654</v>
      </c>
      <c r="F3" s="3559">
        <f>F2/30</f>
        <v>11.180666666666667</v>
      </c>
      <c r="G3" s="3559">
        <f t="shared" ref="G3:K3" si="0">G2/30</f>
        <v>11.180666666666667</v>
      </c>
      <c r="H3" s="3559">
        <f t="shared" si="0"/>
        <v>11.180666666666667</v>
      </c>
      <c r="I3" s="3559">
        <f t="shared" si="0"/>
        <v>11.839666666666666</v>
      </c>
      <c r="J3" s="3559">
        <f t="shared" si="0"/>
        <v>11.839666666666666</v>
      </c>
      <c r="K3" s="3559">
        <f t="shared" si="0"/>
        <v>0</v>
      </c>
    </row>
    <row r="4" spans="1:11">
      <c r="E4" s="3490" t="s">
        <v>4362</v>
      </c>
      <c r="F4" s="3225">
        <f>60/30</f>
        <v>2</v>
      </c>
    </row>
    <row r="6" spans="1:11">
      <c r="A6">
        <v>2</v>
      </c>
      <c r="B6" s="3490" t="s">
        <v>4363</v>
      </c>
      <c r="C6" s="3490" t="s">
        <v>4364</v>
      </c>
      <c r="D6">
        <v>7240.53</v>
      </c>
      <c r="E6" s="3490" t="s">
        <v>4365</v>
      </c>
      <c r="F6">
        <v>456.67</v>
      </c>
      <c r="G6">
        <v>456.67</v>
      </c>
      <c r="H6">
        <v>456.67</v>
      </c>
      <c r="I6">
        <v>479.5</v>
      </c>
      <c r="J6">
        <f>I6</f>
        <v>479.5</v>
      </c>
      <c r="K6">
        <f>J6</f>
        <v>479.5</v>
      </c>
    </row>
    <row r="7" spans="1:11">
      <c r="E7" s="3558" t="s">
        <v>654</v>
      </c>
      <c r="F7" s="3557">
        <f>F6/30</f>
        <v>15.222333333333333</v>
      </c>
      <c r="G7" s="3557">
        <f t="shared" ref="G7:I7" si="1">G6/30</f>
        <v>15.222333333333333</v>
      </c>
      <c r="H7" s="3557">
        <f t="shared" si="1"/>
        <v>15.222333333333333</v>
      </c>
      <c r="I7" s="3557">
        <f t="shared" si="1"/>
        <v>15.983333333333333</v>
      </c>
      <c r="J7" s="3557">
        <f>J6/30</f>
        <v>15.983333333333333</v>
      </c>
      <c r="K7" s="3557">
        <f t="shared" ref="K7" si="2">K6/30</f>
        <v>15.983333333333333</v>
      </c>
    </row>
    <row r="8" spans="1:11">
      <c r="E8" s="3490" t="s">
        <v>4362</v>
      </c>
      <c r="F8" s="3225">
        <f>30/30</f>
        <v>1</v>
      </c>
      <c r="I8">
        <f>(I7-H7)/H7</f>
        <v>4.9992335822366209E-2</v>
      </c>
    </row>
    <row r="15" spans="1:11">
      <c r="C15">
        <f ca="1">收益法!C6+收益法办!C6+收益法车!C6</f>
        <v>32735</v>
      </c>
      <c r="D15">
        <f ca="1">C15/0.055</f>
        <v>595181.81818181823</v>
      </c>
    </row>
  </sheetData>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19" zoomScale="90" zoomScaleNormal="70" zoomScaleSheetLayoutView="9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30.14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9706</v>
      </c>
      <c r="C2" s="1382" t="s">
        <v>805</v>
      </c>
      <c r="D2" s="1382"/>
      <c r="E2" s="1383"/>
      <c r="F2" s="1384"/>
      <c r="G2" s="2677"/>
      <c r="H2" s="2666"/>
      <c r="I2" s="2666"/>
      <c r="J2" s="2666"/>
      <c r="K2" s="2667"/>
      <c r="L2" s="2666"/>
      <c r="M2" s="2666"/>
    </row>
    <row r="3" spans="1:37" ht="18" customHeight="1" thickBot="1">
      <c r="A3" s="1385" t="s">
        <v>806</v>
      </c>
      <c r="B3" s="1386">
        <f ca="1">IF(ISERROR(B2*10000/F43),0,ROUND(B2*10000/F43,0))</f>
        <v>6647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620</v>
      </c>
      <c r="D5" s="1359" t="s">
        <v>693</v>
      </c>
      <c r="E5" s="1067"/>
      <c r="F5" s="1068"/>
      <c r="G5" s="1379"/>
      <c r="H5" s="299">
        <v>1</v>
      </c>
      <c r="I5" s="300" t="s">
        <v>692</v>
      </c>
      <c r="J5" s="1066">
        <f ca="1">J6+J10+J12</f>
        <v>0</v>
      </c>
      <c r="K5" s="1359" t="s">
        <v>693</v>
      </c>
      <c r="L5" s="1067"/>
      <c r="M5" s="1068"/>
    </row>
    <row r="6" spans="1:37" ht="18" customHeight="1">
      <c r="A6" s="1065" t="s">
        <v>398</v>
      </c>
      <c r="B6" s="3775" t="s">
        <v>694</v>
      </c>
      <c r="C6" s="1070">
        <f ca="1">ROUND(F6*F8*F7*(1-F9)/10000,0)</f>
        <v>620</v>
      </c>
      <c r="D6" s="155" t="s">
        <v>2091</v>
      </c>
      <c r="E6" s="302" t="s">
        <v>696</v>
      </c>
      <c r="F6" s="303">
        <f ca="1">INDIRECT("'数据-取费表'!u"&amp;$G$1)</f>
        <v>2000</v>
      </c>
      <c r="G6" s="1379"/>
      <c r="H6" s="1065" t="s">
        <v>398</v>
      </c>
      <c r="I6" s="3775" t="s">
        <v>694</v>
      </c>
      <c r="J6" s="301">
        <f ca="1">ROUND(M6*M8*M7*(1-M9)/10000,0)</f>
        <v>0</v>
      </c>
      <c r="K6" s="155" t="s">
        <v>2090</v>
      </c>
      <c r="L6" s="302" t="s">
        <v>696</v>
      </c>
      <c r="M6" s="303">
        <f ca="1">INDIRECT("'数据-取费表'!z"&amp;$G$1)</f>
        <v>0</v>
      </c>
    </row>
    <row r="7" spans="1:37" ht="18" customHeight="1">
      <c r="A7" s="1069"/>
      <c r="B7" s="3776"/>
      <c r="C7" s="1071"/>
      <c r="D7" s="307"/>
      <c r="E7" s="3422" t="s">
        <v>697</v>
      </c>
      <c r="F7" s="303">
        <f ca="1">IF(INDIRECT("'数据-取费表'!ah"&amp;$G$1)="",INDIRECT("'数据-取费表'!k"&amp;$G$1),INDIRECT("'数据-取费表'!ah"&amp;$G$1))</f>
        <v>287</v>
      </c>
      <c r="G7" s="1379"/>
      <c r="H7" s="304"/>
      <c r="I7" s="3776"/>
      <c r="J7" s="306"/>
      <c r="K7" s="307"/>
      <c r="L7" s="302" t="s">
        <v>697</v>
      </c>
      <c r="M7" s="303">
        <f ca="1">F7</f>
        <v>287</v>
      </c>
    </row>
    <row r="8" spans="1:37" ht="18" customHeight="1">
      <c r="A8" s="304"/>
      <c r="B8" s="3776"/>
      <c r="C8" s="306"/>
      <c r="D8" s="307"/>
      <c r="E8" s="302" t="s">
        <v>698</v>
      </c>
      <c r="F8" s="303">
        <f ca="1">INDIRECT("'数据-取费表'!ai"&amp;$G$1)</f>
        <v>12</v>
      </c>
      <c r="G8" s="1379"/>
      <c r="H8" s="304"/>
      <c r="I8" s="3776"/>
      <c r="J8" s="306"/>
      <c r="K8" s="307"/>
      <c r="L8" s="302" t="s">
        <v>698</v>
      </c>
      <c r="M8" s="303">
        <f ca="1">INDIRECT("'数据-取费表'!ai"&amp;$G$1)</f>
        <v>12</v>
      </c>
    </row>
    <row r="9" spans="1:37" ht="18" customHeight="1">
      <c r="A9" s="304"/>
      <c r="B9" s="3777"/>
      <c r="C9" s="306"/>
      <c r="D9" s="307"/>
      <c r="E9" s="302" t="s">
        <v>699</v>
      </c>
      <c r="F9" s="312">
        <f ca="1">INDIRECT("'数据-取费表'!w"&amp;$G$1)</f>
        <v>0.1</v>
      </c>
      <c r="G9" s="1379"/>
      <c r="H9" s="304"/>
      <c r="I9" s="3777"/>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11155</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11383</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61</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144</v>
      </c>
      <c r="D20" s="2422" t="s">
        <v>729</v>
      </c>
      <c r="E20" s="302" t="s">
        <v>712</v>
      </c>
      <c r="F20" s="322">
        <f>'数据-取费表'!B37</f>
        <v>1.4999999999999999E-2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56.92</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337</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-61</v>
      </c>
      <c r="K25" s="1091" t="s">
        <v>753</v>
      </c>
      <c r="L25" s="1092"/>
      <c r="M25" s="1093"/>
    </row>
    <row r="26" spans="1:37">
      <c r="A26" s="978" t="s">
        <v>397</v>
      </c>
      <c r="B26" s="302" t="s">
        <v>754</v>
      </c>
      <c r="C26" s="21">
        <f ca="1">ROUND((C19+C20)*F26,0)</f>
        <v>488</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8.0000000000000004E-4</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11383</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180</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108.33</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33.07</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70.86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56.92</v>
      </c>
      <c r="D36" s="3504" t="s">
        <v>771</v>
      </c>
      <c r="E36" s="302" t="s">
        <v>712</v>
      </c>
      <c r="F36" s="328">
        <f ca="1">INDIRECT("'数据-取费表'!Ak"&amp;$G$1)</f>
        <v>5.0000000000000001E-3</v>
      </c>
      <c r="G36" s="1379"/>
      <c r="H36" s="2671"/>
      <c r="I36" s="1393">
        <f ca="1">C13*10000/F43</f>
        <v>7639.8405872438288</v>
      </c>
      <c r="J36" s="1394"/>
      <c r="K36" s="2517"/>
      <c r="L36" s="2671"/>
      <c r="M36" s="2671"/>
    </row>
    <row r="37" spans="1:18" ht="18" customHeight="1">
      <c r="A37" s="978" t="s">
        <v>437</v>
      </c>
      <c r="B37" s="302" t="s">
        <v>742</v>
      </c>
      <c r="C37" s="21">
        <f ca="1">ROUND(C13*F37,2)</f>
        <v>11.16</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3.1</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440</v>
      </c>
      <c r="D39" s="1091" t="s">
        <v>753</v>
      </c>
      <c r="E39" s="1092"/>
      <c r="F39" s="1093"/>
      <c r="G39" s="1379"/>
      <c r="H39" s="2671"/>
      <c r="I39" s="1393">
        <f ca="1">C39/C5</f>
        <v>0.70967741935483875</v>
      </c>
      <c r="J39" s="1394"/>
      <c r="K39" s="2675"/>
      <c r="L39" s="2671"/>
      <c r="M39" s="2671"/>
    </row>
    <row r="40" spans="1:18" ht="18" customHeight="1">
      <c r="A40" s="299" t="s">
        <v>395</v>
      </c>
      <c r="B40" s="300" t="s">
        <v>774</v>
      </c>
      <c r="C40" s="301">
        <f ca="1">ROUND(C39*(1-((1+F42)/(1+F40))^F41)/(F40-F42),0)</f>
        <v>9087</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6224</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-10196</v>
      </c>
      <c r="D46" s="1401" t="str">
        <f>C2</f>
        <v>万元</v>
      </c>
      <c r="E46" s="1395"/>
      <c r="F46" s="1395"/>
      <c r="I46" s="1402" t="s">
        <v>810</v>
      </c>
      <c r="J46" s="1403"/>
      <c r="K46" s="1404"/>
      <c r="L46" s="1405">
        <f ca="1">IF(M47="住宅",0,IF(L48&gt;J51,L60,J60))</f>
        <v>619</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9087</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30.14</v>
      </c>
      <c r="O48" s="1413" t="s">
        <v>404</v>
      </c>
      <c r="P48" s="1414" t="s">
        <v>821</v>
      </c>
      <c r="Q48" s="1415">
        <f ca="1">J60</f>
        <v>619</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11383</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-7010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778" t="s">
        <v>837</v>
      </c>
      <c r="L53" s="3779"/>
      <c r="O53" s="1413" t="s">
        <v>409</v>
      </c>
      <c r="P53" s="1414" t="s">
        <v>838</v>
      </c>
      <c r="Q53" s="1415">
        <f ca="1">Q47+Q48</f>
        <v>9706</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11155</v>
      </c>
      <c r="D56" s="1442"/>
      <c r="E56" s="1443"/>
      <c r="F56" s="1435"/>
      <c r="I56" s="1444" t="s">
        <v>842</v>
      </c>
      <c r="J56" s="1445" t="s">
        <v>3386</v>
      </c>
      <c r="K56" s="1416" t="s">
        <v>843</v>
      </c>
      <c r="L56" s="1419" t="str">
        <f ca="1">IF(L48&lt;J51,"——",L48-J53)</f>
        <v>——</v>
      </c>
      <c r="O56" s="1413" t="s">
        <v>403</v>
      </c>
      <c r="P56" s="1414" t="s">
        <v>817</v>
      </c>
      <c r="Q56" s="1415">
        <f ca="1">C40+J29</f>
        <v>9087</v>
      </c>
      <c r="R56" s="1415" t="s">
        <v>818</v>
      </c>
    </row>
    <row r="57" spans="1:18" s="1379" customFormat="1" ht="24.75" thickBot="1">
      <c r="A57" s="1446"/>
      <c r="B57" s="946" t="s">
        <v>767</v>
      </c>
      <c r="C57" s="238">
        <f ca="1">C29</f>
        <v>11383</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72</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5475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619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9087</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56.92</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11.16</v>
      </c>
      <c r="D65" s="960" t="s">
        <v>743</v>
      </c>
      <c r="E65" s="946" t="s">
        <v>712</v>
      </c>
      <c r="F65" s="330">
        <f t="shared" ca="1" si="0"/>
        <v>1E-3</v>
      </c>
      <c r="I65" s="1457" t="s">
        <v>867</v>
      </c>
      <c r="J65" s="1458">
        <v>40</v>
      </c>
      <c r="K65" s="1458">
        <v>30</v>
      </c>
      <c r="L65" s="1458">
        <v>50</v>
      </c>
      <c r="M65" s="1460">
        <v>0.02</v>
      </c>
      <c r="O65" s="1413" t="s">
        <v>403</v>
      </c>
      <c r="P65" s="1414" t="s">
        <v>817</v>
      </c>
      <c r="Q65" s="1415">
        <f ca="1">C40+J29</f>
        <v>9087</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-72</v>
      </c>
      <c r="D67" s="959" t="s">
        <v>753</v>
      </c>
      <c r="E67" s="964"/>
      <c r="F67" s="965"/>
      <c r="O67" s="1423" t="s">
        <v>405</v>
      </c>
      <c r="P67" s="1414" t="s">
        <v>850</v>
      </c>
      <c r="Q67" s="1461">
        <f ca="1">L51</f>
        <v>-7010</v>
      </c>
      <c r="R67" s="1415" t="s">
        <v>870</v>
      </c>
    </row>
    <row r="68" spans="1:18" s="1379" customFormat="1" ht="16.5" thickBot="1">
      <c r="A68" s="943" t="s">
        <v>395</v>
      </c>
      <c r="B68" s="944" t="s">
        <v>774</v>
      </c>
      <c r="C68" s="301">
        <f ca="1">ROUND(C67*(1-((1+F70)/(1+F68))^F69)/(F68-F70),0)</f>
        <v>-1109</v>
      </c>
      <c r="D68" s="961" t="s">
        <v>758</v>
      </c>
      <c r="E68" s="946" t="s">
        <v>759</v>
      </c>
      <c r="F68" s="312">
        <f ca="1">F40</f>
        <v>0.05</v>
      </c>
      <c r="O68" s="1423" t="s">
        <v>406</v>
      </c>
      <c r="P68" s="1462" t="s">
        <v>871</v>
      </c>
      <c r="Q68" s="1415">
        <f ca="1">ROUND(Q69-Q70*Q71,0)</f>
        <v>-341</v>
      </c>
      <c r="R68" s="1415" t="s">
        <v>414</v>
      </c>
    </row>
    <row r="69" spans="1:18" s="1379" customFormat="1" ht="13.5" thickBot="1">
      <c r="A69" s="947"/>
      <c r="B69" s="948"/>
      <c r="C69" s="306"/>
      <c r="D69" s="966" t="s">
        <v>762</v>
      </c>
      <c r="E69" s="946" t="s">
        <v>763</v>
      </c>
      <c r="F69" s="333">
        <f ca="1">F41</f>
        <v>30.14</v>
      </c>
      <c r="O69" s="1423" t="s">
        <v>411</v>
      </c>
      <c r="P69" s="1462" t="s">
        <v>872</v>
      </c>
      <c r="Q69" s="1415">
        <f ca="1">C39</f>
        <v>440</v>
      </c>
      <c r="R69" s="1415" t="s">
        <v>818</v>
      </c>
    </row>
    <row r="70" spans="1:18" s="1379" customFormat="1" ht="13.5" thickBot="1">
      <c r="A70" s="950"/>
      <c r="B70" s="951"/>
      <c r="C70" s="310"/>
      <c r="D70" s="962"/>
      <c r="E70" s="946" t="s">
        <v>766</v>
      </c>
      <c r="F70" s="1050"/>
      <c r="O70" s="1423" t="s">
        <v>412</v>
      </c>
      <c r="P70" s="1462" t="s">
        <v>873</v>
      </c>
      <c r="Q70" s="1415">
        <f ca="1">C13</f>
        <v>11155</v>
      </c>
      <c r="R70" s="1415" t="s">
        <v>818</v>
      </c>
    </row>
    <row r="71" spans="1:18" s="1379" customFormat="1" ht="13.5" thickBot="1">
      <c r="A71" s="967" t="s">
        <v>396</v>
      </c>
      <c r="B71" s="968" t="s">
        <v>776</v>
      </c>
      <c r="C71" s="336">
        <f ca="1">ROUND(C68*10000/F71,0)</f>
        <v>-760</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781</v>
      </c>
      <c r="D75" s="1379"/>
      <c r="E75" s="1379"/>
      <c r="F75" s="1379"/>
      <c r="K75" s="1397"/>
      <c r="L75" s="1379"/>
      <c r="O75" s="1413" t="s">
        <v>409</v>
      </c>
      <c r="P75" s="1414" t="s">
        <v>838</v>
      </c>
      <c r="Q75" s="1415">
        <f ca="1">Q65+Q66</f>
        <v>9087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-0.77499999999999991</v>
      </c>
    </row>
    <row r="80" spans="1:18">
      <c r="B80" s="340" t="s">
        <v>800</v>
      </c>
      <c r="C80" s="274">
        <f ca="1">ROUND(C75/C39,3)</f>
        <v>1.7749999999999999</v>
      </c>
    </row>
    <row r="81" spans="2:3">
      <c r="B81" s="270" t="s">
        <v>801</v>
      </c>
      <c r="C81" s="238"/>
    </row>
    <row r="82" spans="2:3">
      <c r="B82" s="273" t="s">
        <v>802</v>
      </c>
      <c r="C82" s="275">
        <f ca="1">1-C83</f>
        <v>-0.22799999999999998</v>
      </c>
    </row>
    <row r="83" spans="2:3">
      <c r="B83" s="273" t="s">
        <v>803</v>
      </c>
      <c r="C83" s="274">
        <f ca="1">ROUND(C13/C40,3)</f>
        <v>1.228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0</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0</v>
      </c>
      <c r="U2" s="1208">
        <f>'数据-基础表'!I13+'数据-基础表'!I19</f>
        <v>5161.3899999999994</v>
      </c>
      <c r="V2" s="3332">
        <f>ROUND(T2*U2/10000,0)</f>
        <v>0</v>
      </c>
      <c r="W2" s="1211"/>
      <c r="X2" s="1211"/>
      <c r="Y2" s="1211"/>
      <c r="Z2" s="1211"/>
      <c r="AA2" s="1211"/>
      <c r="AB2" s="1211"/>
      <c r="AC2" s="1212"/>
      <c r="AD2" s="1213"/>
      <c r="AE2" s="1213"/>
      <c r="AF2" s="1213"/>
      <c r="AG2" s="1213"/>
      <c r="AH2" s="1213"/>
      <c r="AI2" s="1213"/>
      <c r="AJ2" s="1214"/>
    </row>
    <row r="3" spans="1:36" ht="15.75">
      <c r="A3" s="203" t="s">
        <v>1924</v>
      </c>
      <c r="B3" s="204">
        <f>ROUND(B2*10000/D1,0)</f>
        <v>0</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0</v>
      </c>
      <c r="U3" s="1208">
        <f>'数据-基础表'!I14+'数据-基础表'!I20</f>
        <v>4919.5599999999995</v>
      </c>
      <c r="V3" s="3332">
        <f t="shared" ref="V3:V16" si="1">ROUND(T3*U3/10000,0)</f>
        <v>0</v>
      </c>
      <c r="W3" s="1211"/>
      <c r="X3" s="1211"/>
      <c r="Y3" s="1211"/>
      <c r="Z3" s="1211"/>
      <c r="AA3" s="1211"/>
      <c r="AB3" s="1211"/>
      <c r="AC3" s="1212"/>
      <c r="AD3" s="1213"/>
      <c r="AE3" s="1213"/>
      <c r="AF3" s="1213"/>
      <c r="AG3" s="1213"/>
      <c r="AH3" s="1213"/>
      <c r="AI3" s="1213"/>
      <c r="AJ3" s="1214"/>
    </row>
    <row r="4" spans="1:36" ht="15.75">
      <c r="A4" s="3918"/>
      <c r="B4" s="3919"/>
      <c r="C4" s="3919"/>
      <c r="D4" s="3920"/>
      <c r="E4" s="3920"/>
      <c r="F4" s="3920"/>
      <c r="G4" s="3920"/>
      <c r="H4" s="3920"/>
      <c r="I4" s="3920"/>
      <c r="J4" s="3921"/>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0</v>
      </c>
      <c r="U4" s="1208">
        <f>'数据-基础表'!I15+'数据-基础表'!I21</f>
        <v>5837.57</v>
      </c>
      <c r="V4" s="333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0</v>
      </c>
      <c r="U5" s="1208">
        <f>'数据-基础表'!I16+'数据-基础表'!I22</f>
        <v>5837.57</v>
      </c>
      <c r="V5" s="3332">
        <f t="shared" si="1"/>
        <v>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0</v>
      </c>
      <c r="U6" s="1208">
        <f>'数据-基础表'!I17+'数据-基础表'!I23</f>
        <v>5837.57</v>
      </c>
      <c r="V6" s="3332">
        <f t="shared" si="1"/>
        <v>0</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0</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0</v>
      </c>
      <c r="U8" s="1208"/>
      <c r="V8" s="3332">
        <f t="shared" si="1"/>
        <v>0</v>
      </c>
      <c r="W8" s="3915" t="s">
        <v>1944</v>
      </c>
      <c r="X8" s="3916"/>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0</v>
      </c>
      <c r="U9" s="1208">
        <f>SUM('数据-基础表'!I31:I48)</f>
        <v>0</v>
      </c>
      <c r="V9" s="3332">
        <f t="shared" si="1"/>
        <v>0</v>
      </c>
      <c r="W9" s="3917"/>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0</v>
      </c>
      <c r="U10" s="1208">
        <f>SUM('数据-基础表'!I49:I68)</f>
        <v>0</v>
      </c>
      <c r="V10" s="3332">
        <f t="shared" si="1"/>
        <v>0</v>
      </c>
      <c r="W10" s="3917"/>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22" t="s">
        <v>3236</v>
      </c>
      <c r="B20" s="167" t="s">
        <v>1978</v>
      </c>
      <c r="C20" s="3296">
        <f>ROUND(IF(F21="与级别开发程度一致",0,(G21-E21)/C21),0)</f>
        <v>0</v>
      </c>
      <c r="D20" s="3312" t="s">
        <v>1982</v>
      </c>
      <c r="E20" s="3313"/>
      <c r="F20" s="3928" t="s">
        <v>1979</v>
      </c>
      <c r="G20" s="3929"/>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23"/>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0.74770000000000003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20.14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0</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0</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0</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26"/>
      <c r="B37" s="2108" t="s">
        <v>2020</v>
      </c>
      <c r="C37" s="175">
        <f>ROUND(D5*C22*C23*C24*C28*F37,0)</f>
        <v>0</v>
      </c>
      <c r="D37" s="2093">
        <f>'数据-汇总表'!G19</f>
        <v>6877.51</v>
      </c>
      <c r="E37" s="171">
        <f>ROUND(C37*D37/10000,0)</f>
        <v>0</v>
      </c>
      <c r="F37" s="171">
        <f>SUMIF(修正!A57:A68,G2,修正!B57:B68)</f>
        <v>0.7</v>
      </c>
      <c r="G37" s="171">
        <f>ROUND(IF(E2="工业",C37*$M$42,C37*$M$41),0)</f>
        <v>0</v>
      </c>
      <c r="H37" s="171">
        <f>D37</f>
        <v>6877.51</v>
      </c>
      <c r="I37" s="171">
        <f>ROUND(G37*H37/10000,0)</f>
        <v>0</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27"/>
      <c r="B38" s="2036" t="s">
        <v>2021</v>
      </c>
      <c r="C38" s="175">
        <f>ROUND(D5*C22*C23*C24*C28*F38,0)</f>
        <v>0</v>
      </c>
      <c r="D38" s="2093"/>
      <c r="E38" s="171">
        <f t="shared" ref="E38:E42" si="4">ROUND(C38*D38/10000,0)</f>
        <v>0</v>
      </c>
      <c r="F38" s="171">
        <f>SUMIF(修正!A57:A68,G2,修正!C57:C68)</f>
        <v>0.4</v>
      </c>
      <c r="G38" s="171">
        <f>ROUND(IF(E2="工业",C38*$M$42,C38*$M$41),0)</f>
        <v>0</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27"/>
      <c r="B39" s="2036" t="s">
        <v>3241</v>
      </c>
      <c r="C39" s="175">
        <f>ROUND(D5*C22*C23*C24*C28*F39,0)</f>
        <v>0</v>
      </c>
      <c r="D39" s="2093"/>
      <c r="E39" s="171">
        <f t="shared" si="4"/>
        <v>0</v>
      </c>
      <c r="F39" s="171">
        <f>SUMIF(修正!A57:A68,G2,修正!D57:D68)</f>
        <v>0.3</v>
      </c>
      <c r="G39" s="171">
        <f>ROUND(IF(E2="工业",C39*$M$42,C39*$M$41),0)</f>
        <v>0</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0</v>
      </c>
      <c r="D40" s="2093"/>
      <c r="E40" s="171">
        <f t="shared" si="4"/>
        <v>0</v>
      </c>
      <c r="F40" s="175">
        <f>SUMIF(修正!A57:A68,G2,修正!E57:E68)</f>
        <v>0.3</v>
      </c>
      <c r="G40" s="171">
        <f>ROUND(IF(E2="工业",C40*$M$42,C40*$M$41),0)</f>
        <v>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0</v>
      </c>
      <c r="D41" s="2093"/>
      <c r="E41" s="171">
        <f t="shared" si="4"/>
        <v>0</v>
      </c>
      <c r="F41" s="175">
        <f>SUMIF(修正!A57:A68,G2,修正!F57:F68)</f>
        <v>0.3</v>
      </c>
      <c r="G41" s="171">
        <f>ROUND(IF(E2="工业",C41*$M$42,C41*$M$41),0)</f>
        <v>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0</v>
      </c>
      <c r="D42" s="2098">
        <f>'数据-汇总表'!G20</f>
        <v>0</v>
      </c>
      <c r="E42" s="187">
        <f t="shared" si="4"/>
        <v>0</v>
      </c>
      <c r="F42" s="763">
        <f>SUMIF(修正!A57:A68,G2,修正!G57:G68)</f>
        <v>0.2</v>
      </c>
      <c r="G42" s="187">
        <f>ROUND(IF(E2="工业",C42*$M$42,C42*$M$41),0)</f>
        <v>0</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24" t="s">
        <v>3276</v>
      </c>
      <c r="B103" s="3924"/>
      <c r="C103" s="3924"/>
      <c r="D103" s="3924"/>
      <c r="E103" s="3924"/>
      <c r="F103" s="3924"/>
      <c r="G103" s="3924"/>
      <c r="H103" s="3924"/>
      <c r="I103" s="3924"/>
      <c r="J103" s="3924"/>
      <c r="K103" s="3361"/>
      <c r="L103" s="3361"/>
      <c r="M103" s="3361"/>
      <c r="N103" s="3361"/>
    </row>
    <row r="104" spans="1:14">
      <c r="A104" s="3925" t="s">
        <v>3277</v>
      </c>
      <c r="B104" s="3925" t="s">
        <v>3278</v>
      </c>
      <c r="C104" s="3362" t="s">
        <v>3279</v>
      </c>
      <c r="D104" s="3363"/>
      <c r="E104" s="3363"/>
      <c r="F104" s="3363"/>
      <c r="G104" s="3363"/>
      <c r="H104" s="3363"/>
      <c r="I104" s="3363"/>
      <c r="J104" s="3364"/>
      <c r="K104" s="3365"/>
      <c r="L104" s="3365"/>
      <c r="M104" s="3365"/>
      <c r="N104" s="3365"/>
    </row>
    <row r="105" spans="1:14">
      <c r="A105" s="3925"/>
      <c r="B105" s="3925"/>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911"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912"/>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912"/>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912"/>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912"/>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912"/>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13"/>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14" t="s">
        <v>3293</v>
      </c>
      <c r="B113" s="3914"/>
      <c r="C113" s="3914"/>
      <c r="D113" s="3914"/>
      <c r="E113" s="3914"/>
      <c r="F113" s="3914"/>
      <c r="G113" s="3914"/>
      <c r="H113" s="3914"/>
      <c r="I113" s="3914"/>
      <c r="J113" s="3914"/>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0</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0</v>
      </c>
      <c r="U2" s="1208">
        <f>'数据-基础表'!I13+'数据-基础表'!I19</f>
        <v>5161.3899999999994</v>
      </c>
      <c r="V2" s="3332">
        <f>ROUND(T2*U2/10000,0)</f>
        <v>0</v>
      </c>
      <c r="W2" s="1211"/>
      <c r="X2" s="1211"/>
      <c r="Y2" s="1211"/>
      <c r="Z2" s="1211"/>
      <c r="AA2" s="1211"/>
      <c r="AB2" s="1211"/>
      <c r="AC2" s="1212"/>
      <c r="AD2" s="1213"/>
      <c r="AE2" s="1213"/>
      <c r="AF2" s="1213"/>
      <c r="AG2" s="1213"/>
      <c r="AH2" s="1213"/>
      <c r="AI2" s="1213"/>
      <c r="AJ2" s="1214"/>
    </row>
    <row r="3" spans="1:36" ht="15.75">
      <c r="A3" s="203" t="s">
        <v>1924</v>
      </c>
      <c r="B3" s="204">
        <f>ROUND(B2*10000/D1,0)</f>
        <v>0</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0</v>
      </c>
      <c r="U3" s="1208">
        <f>'数据-基础表'!I14+'数据-基础表'!I20</f>
        <v>4919.5599999999995</v>
      </c>
      <c r="V3" s="3332">
        <f t="shared" ref="V3:V16" si="1">ROUND(T3*U3/10000,0)</f>
        <v>0</v>
      </c>
      <c r="W3" s="1211"/>
      <c r="X3" s="1211"/>
      <c r="Y3" s="1211"/>
      <c r="Z3" s="1211"/>
      <c r="AA3" s="1211"/>
      <c r="AB3" s="1211"/>
      <c r="AC3" s="1212"/>
      <c r="AD3" s="1213"/>
      <c r="AE3" s="1213"/>
      <c r="AF3" s="1213"/>
      <c r="AG3" s="1213"/>
      <c r="AH3" s="1213"/>
      <c r="AI3" s="1213"/>
      <c r="AJ3" s="1214"/>
    </row>
    <row r="4" spans="1:36" ht="15.75">
      <c r="A4" s="3918"/>
      <c r="B4" s="3919"/>
      <c r="C4" s="3919"/>
      <c r="D4" s="3920"/>
      <c r="E4" s="3920"/>
      <c r="F4" s="3920"/>
      <c r="G4" s="3920"/>
      <c r="H4" s="3920"/>
      <c r="I4" s="3920"/>
      <c r="J4" s="3921"/>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0</v>
      </c>
      <c r="U4" s="1208">
        <f>'数据-基础表'!I15+'数据-基础表'!I21</f>
        <v>5837.57</v>
      </c>
      <c r="V4" s="333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0</v>
      </c>
      <c r="U5" s="1208">
        <f>'数据-基础表'!I16+'数据-基础表'!I22</f>
        <v>5837.57</v>
      </c>
      <c r="V5" s="3332">
        <f t="shared" si="1"/>
        <v>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0</v>
      </c>
      <c r="U6" s="1208">
        <f>'数据-基础表'!I17+'数据-基础表'!I23</f>
        <v>5837.57</v>
      </c>
      <c r="V6" s="3332">
        <f t="shared" si="1"/>
        <v>0</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0</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0</v>
      </c>
      <c r="U8" s="1208"/>
      <c r="V8" s="3332">
        <f t="shared" si="1"/>
        <v>0</v>
      </c>
      <c r="W8" s="3915" t="s">
        <v>1944</v>
      </c>
      <c r="X8" s="3916"/>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0</v>
      </c>
      <c r="U9" s="1208">
        <f>SUM('数据-基础表'!I31:I48)</f>
        <v>0</v>
      </c>
      <c r="V9" s="3332">
        <f t="shared" si="1"/>
        <v>0</v>
      </c>
      <c r="W9" s="3917"/>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0</v>
      </c>
      <c r="U10" s="1208">
        <f>SUM('数据-基础表'!I49:I68)</f>
        <v>0</v>
      </c>
      <c r="V10" s="3332">
        <f t="shared" si="1"/>
        <v>0</v>
      </c>
      <c r="W10" s="3917"/>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22" t="s">
        <v>3236</v>
      </c>
      <c r="B20" s="167" t="s">
        <v>1978</v>
      </c>
      <c r="C20" s="3296">
        <f>ROUND(IF(F21="与级别开发程度一致",0,(G21-E21)/C21),0)</f>
        <v>0</v>
      </c>
      <c r="D20" s="3312" t="s">
        <v>1982</v>
      </c>
      <c r="E20" s="3313"/>
      <c r="F20" s="3928" t="s">
        <v>1979</v>
      </c>
      <c r="G20" s="3929"/>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23"/>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v>
      </c>
      <c r="D24" s="2055" t="s">
        <v>1991</v>
      </c>
      <c r="E24" s="1330">
        <f>存贷款利率!E24/100</f>
        <v>4.3499999999999997E-2</v>
      </c>
      <c r="F24" s="2055" t="s">
        <v>1983</v>
      </c>
      <c r="G24" s="764">
        <f>SUMIF(M30:Q30,E2,M33:Q33)</f>
        <v>5.5E-2</v>
      </c>
      <c r="H24" s="2055" t="s">
        <v>1992</v>
      </c>
      <c r="I24" s="765">
        <f>SUMIF('数据-取费表'!C6:C15,E2,'数据-取费表'!F6:F15)/COUNTIF('数据-取费表'!C6:C15,E2)</f>
        <v>30.14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0</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0</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0</v>
      </c>
      <c r="D33" s="2093">
        <f>'数据-汇总表'!F20</f>
        <v>35300.840000000011</v>
      </c>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26"/>
      <c r="B37" s="2108" t="s">
        <v>2020</v>
      </c>
      <c r="C37" s="3497">
        <f>ROUND(D5*C22*C23*C24*C28*F37,0)</f>
        <v>0</v>
      </c>
      <c r="D37" s="2093">
        <f>'数据-汇总表'!G19</f>
        <v>6877.51</v>
      </c>
      <c r="E37" s="171">
        <f>ROUND(C37*D37/10000,0)</f>
        <v>0</v>
      </c>
      <c r="F37" s="171">
        <f>SUMIF(修正!A57:A68,G2,修正!B57:B68)</f>
        <v>0.7</v>
      </c>
      <c r="G37" s="171">
        <f>ROUND(IF(E2="工业",C37*$M$42,C37*$M$41),0)</f>
        <v>0</v>
      </c>
      <c r="H37" s="171">
        <f>D37</f>
        <v>6877.51</v>
      </c>
      <c r="I37" s="171">
        <f>ROUND(G37*H37/10000,0)</f>
        <v>0</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27"/>
      <c r="B38" s="2036" t="s">
        <v>2021</v>
      </c>
      <c r="C38" s="3497">
        <f>ROUND(D5*C22*C23*C24*C28*F38,0)</f>
        <v>0</v>
      </c>
      <c r="D38" s="2093"/>
      <c r="E38" s="171">
        <f t="shared" ref="E38:E42" si="4">ROUND(C38*D38/10000,0)</f>
        <v>0</v>
      </c>
      <c r="F38" s="171">
        <f>SUMIF(修正!A57:A68,G2,修正!C57:C68)</f>
        <v>0.4</v>
      </c>
      <c r="G38" s="171">
        <f>ROUND(IF(E2="工业",C38*$M$42,C38*$M$41),0)</f>
        <v>0</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27"/>
      <c r="B39" s="2036" t="s">
        <v>3241</v>
      </c>
      <c r="C39" s="3497">
        <f>ROUND(D5*C22*C23*C24*C28*F39,0)</f>
        <v>0</v>
      </c>
      <c r="D39" s="2093"/>
      <c r="E39" s="171">
        <f t="shared" si="4"/>
        <v>0</v>
      </c>
      <c r="F39" s="171">
        <f>SUMIF(修正!A57:A68,G2,修正!D57:D68)</f>
        <v>0.3</v>
      </c>
      <c r="G39" s="171">
        <f>ROUND(IF(E2="工业",C39*$M$42,C39*$M$41),0)</f>
        <v>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0</v>
      </c>
      <c r="D40" s="2093"/>
      <c r="E40" s="171">
        <f t="shared" si="4"/>
        <v>0</v>
      </c>
      <c r="F40" s="3497">
        <f>SUMIF(修正!A57:A68,G2,修正!E57:E68)</f>
        <v>0.3</v>
      </c>
      <c r="G40" s="171">
        <f>ROUND(IF(E2="工业",C40*$M$42,C40*$M$41),0)</f>
        <v>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0</v>
      </c>
      <c r="D41" s="2093"/>
      <c r="E41" s="171">
        <f t="shared" si="4"/>
        <v>0</v>
      </c>
      <c r="F41" s="3497">
        <f>SUMIF(修正!A57:A68,G2,修正!F57:F68)</f>
        <v>0.3</v>
      </c>
      <c r="G41" s="171">
        <f>ROUND(IF(E2="工业",C41*$M$42,C41*$M$41),0)</f>
        <v>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0</v>
      </c>
      <c r="D42" s="2098">
        <f>'数据-汇总表'!G20</f>
        <v>0</v>
      </c>
      <c r="E42" s="187">
        <f t="shared" si="4"/>
        <v>0</v>
      </c>
      <c r="F42" s="763">
        <f>SUMIF(修正!A57:A68,G2,修正!G57:G68)</f>
        <v>0.2</v>
      </c>
      <c r="G42" s="187">
        <f>ROUND(IF(E2="工业",C42*$M$42,C42*$M$41),0)</f>
        <v>0</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24" t="s">
        <v>3276</v>
      </c>
      <c r="B103" s="3924"/>
      <c r="C103" s="3924"/>
      <c r="D103" s="3924"/>
      <c r="E103" s="3924"/>
      <c r="F103" s="3924"/>
      <c r="G103" s="3924"/>
      <c r="H103" s="3924"/>
      <c r="I103" s="3924"/>
      <c r="J103" s="3924"/>
      <c r="K103" s="3512"/>
      <c r="L103" s="3512"/>
      <c r="M103" s="3512"/>
      <c r="N103" s="3512"/>
    </row>
    <row r="104" spans="1:14">
      <c r="A104" s="3925" t="s">
        <v>3277</v>
      </c>
      <c r="B104" s="3925" t="s">
        <v>3278</v>
      </c>
      <c r="C104" s="3362" t="s">
        <v>3279</v>
      </c>
      <c r="D104" s="3363"/>
      <c r="E104" s="3363"/>
      <c r="F104" s="3363"/>
      <c r="G104" s="3363"/>
      <c r="H104" s="3363"/>
      <c r="I104" s="3363"/>
      <c r="J104" s="3364"/>
      <c r="K104" s="3365"/>
      <c r="L104" s="3365"/>
      <c r="M104" s="3365"/>
      <c r="N104" s="3365"/>
    </row>
    <row r="105" spans="1:14">
      <c r="A105" s="3925"/>
      <c r="B105" s="3925"/>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911"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912"/>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912"/>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912"/>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912"/>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912"/>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13"/>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14" t="s">
        <v>3293</v>
      </c>
      <c r="B113" s="3914"/>
      <c r="C113" s="3914"/>
      <c r="D113" s="3914"/>
      <c r="E113" s="3914"/>
      <c r="F113" s="3914"/>
      <c r="G113" s="3914"/>
      <c r="H113" s="3914"/>
      <c r="I113" s="3914"/>
      <c r="J113" s="3914"/>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0</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0</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71524</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8477</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1687</v>
      </c>
      <c r="D5" s="211" t="s">
        <v>1453</v>
      </c>
      <c r="E5" s="212" t="s">
        <v>1454</v>
      </c>
      <c r="F5" s="212" t="s">
        <v>1455</v>
      </c>
      <c r="G5" s="213"/>
      <c r="J5" s="3459" t="s">
        <v>3442</v>
      </c>
    </row>
    <row r="6" spans="1:10" s="214" customFormat="1" ht="13.5" customHeight="1">
      <c r="A6" s="774" t="s">
        <v>1456</v>
      </c>
      <c r="B6" s="215" t="s">
        <v>1457</v>
      </c>
      <c r="C6" s="216">
        <f ca="1">'基准地价（汇总）'!B2</f>
        <v>0</v>
      </c>
      <c r="D6" s="217"/>
      <c r="E6" s="218"/>
      <c r="F6" s="218"/>
      <c r="G6" s="219"/>
      <c r="J6" s="214">
        <f>基准地价修正!B2</f>
        <v>0</v>
      </c>
    </row>
    <row r="7" spans="1:10" s="214" customFormat="1" ht="13.5" customHeight="1">
      <c r="A7" s="774" t="s">
        <v>1458</v>
      </c>
      <c r="B7" s="215" t="s">
        <v>1459</v>
      </c>
      <c r="C7" s="220">
        <f ca="1">ROUND(C6*F7,0)</f>
        <v>0</v>
      </c>
      <c r="D7" s="220"/>
      <c r="E7" s="218"/>
      <c r="F7" s="221">
        <f>IF(项目基本情况!B8="出让",0,'数据-取费表'!B48+'数据-取费表'!B49)</f>
        <v>3.0499999999999999E-2</v>
      </c>
      <c r="G7" s="219"/>
      <c r="J7" s="214">
        <f ca="1">J6*10000/D10</f>
        <v>0</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25</v>
      </c>
      <c r="D20" s="232"/>
      <c r="E20" s="232"/>
      <c r="F20" s="233">
        <f>'数据-取费表'!B37</f>
        <v>1.4999999999999999E-2</v>
      </c>
      <c r="G20" s="234" t="s">
        <v>1479</v>
      </c>
    </row>
    <row r="21" spans="1:7" s="214" customFormat="1" ht="13.5" customHeight="1">
      <c r="A21" s="255" t="s">
        <v>1480</v>
      </c>
      <c r="B21" s="210" t="s">
        <v>1481</v>
      </c>
      <c r="C21" s="235">
        <f>F21</f>
        <v>1.4999999999999999E-2</v>
      </c>
      <c r="D21" s="236" t="s">
        <v>1482</v>
      </c>
      <c r="E21" s="232"/>
      <c r="F21" s="233">
        <f>'数据-取费表'!B38</f>
        <v>1.4999999999999999E-2</v>
      </c>
      <c r="G21" s="234" t="s">
        <v>1483</v>
      </c>
    </row>
    <row r="22" spans="1:7" s="214" customFormat="1" ht="13.5" customHeight="1">
      <c r="A22" s="255" t="s">
        <v>1484</v>
      </c>
      <c r="B22" s="210" t="s">
        <v>1485</v>
      </c>
      <c r="C22" s="1100">
        <f ca="1">ROUND(SUM(C23:C25),0)</f>
        <v>119</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118</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v>
      </c>
      <c r="D25" s="238"/>
      <c r="E25" s="241"/>
      <c r="F25" s="239"/>
      <c r="G25" s="242" t="s">
        <v>1494</v>
      </c>
    </row>
    <row r="26" spans="1:7" s="214" customFormat="1">
      <c r="A26" s="776"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223</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223</v>
      </c>
      <c r="D28" s="235"/>
      <c r="E28" s="236"/>
      <c r="F28" s="246"/>
      <c r="G28" s="247"/>
    </row>
    <row r="29" spans="1:7" s="214" customFormat="1" ht="13.5" customHeight="1">
      <c r="A29" s="776"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2211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834</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72" t="s">
        <v>1528</v>
      </c>
    </row>
    <row r="43" spans="1:7" ht="13.5" customHeight="1">
      <c r="A43" s="776" t="s">
        <v>347</v>
      </c>
      <c r="B43" s="215" t="s">
        <v>1529</v>
      </c>
      <c r="C43" s="238">
        <f ca="1">ROUND(IF('数据-取费表'!B22&lt;=1,C39*F22*'数据-取费表'!B21/2,C39*(POWER((1+F22),'数据-取费表'!B21/2)-1)),0)</f>
        <v>29</v>
      </c>
      <c r="D43" s="238"/>
      <c r="E43" s="238"/>
      <c r="F43" s="239"/>
      <c r="G43" s="3773"/>
    </row>
    <row r="44" spans="1:7" ht="13.5" customHeight="1">
      <c r="A44" s="776" t="s">
        <v>348</v>
      </c>
      <c r="B44" s="215" t="s">
        <v>1530</v>
      </c>
      <c r="C44" s="238">
        <f ca="1">ROUND(IF('数据-取费表'!B22&lt;=1,C40*F22*'数据-取费表'!B21/2,C40*(POWER((1+F22),'数据-取费表'!B21/2)-1)),4)</f>
        <v>5.0000000000000001E-4</v>
      </c>
      <c r="D44" s="238"/>
      <c r="E44" s="238"/>
      <c r="F44" s="239"/>
      <c r="G44" s="3774"/>
    </row>
    <row r="45" spans="1:7" s="214" customFormat="1" ht="13.5" customHeight="1">
      <c r="A45" s="255" t="s">
        <v>1531</v>
      </c>
      <c r="B45" s="244" t="s">
        <v>1497</v>
      </c>
      <c r="C45" s="245">
        <f ca="1">C46</f>
        <v>7337</v>
      </c>
      <c r="D45" s="235">
        <f ca="1">C47</f>
        <v>2E-3</v>
      </c>
      <c r="E45" s="236" t="s">
        <v>1523</v>
      </c>
      <c r="F45" s="246">
        <f ca="1">F27</f>
        <v>0.13</v>
      </c>
      <c r="G45" s="247" t="s">
        <v>1532</v>
      </c>
    </row>
    <row r="46" spans="1:7" s="214" customFormat="1" ht="13.5" customHeight="1">
      <c r="A46" s="776" t="s">
        <v>346</v>
      </c>
      <c r="B46" s="248" t="s">
        <v>1533</v>
      </c>
      <c r="C46" s="249">
        <f ca="1">ROUND((C33+C39)*F27,0)</f>
        <v>7337</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70728</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69313</v>
      </c>
      <c r="D51" s="232"/>
      <c r="E51" s="232"/>
      <c r="F51" s="264"/>
      <c r="G51" s="234" t="s">
        <v>1544</v>
      </c>
    </row>
    <row r="52" spans="1:7" s="208" customFormat="1" ht="16.5" thickBot="1">
      <c r="A52" s="265" t="s">
        <v>1545</v>
      </c>
      <c r="B52" s="266"/>
      <c r="C52" s="267">
        <f ca="1">C31+C51</f>
        <v>71524</v>
      </c>
      <c r="D52" s="266"/>
      <c r="E52" s="266"/>
      <c r="F52" s="266"/>
      <c r="G52" s="268"/>
    </row>
    <row r="55" spans="1:7" ht="15">
      <c r="B55" s="270" t="s">
        <v>1546</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605" t="s">
        <v>949</v>
      </c>
      <c r="B1" s="3605"/>
      <c r="C1" s="3605"/>
      <c r="D1" s="3605"/>
    </row>
    <row r="2" spans="1:4" ht="18">
      <c r="A2" s="3606" t="s">
        <v>933</v>
      </c>
      <c r="B2" s="3606"/>
      <c r="C2" s="3606"/>
      <c r="D2" s="3606"/>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606" t="s">
        <v>939</v>
      </c>
      <c r="B6" s="3606"/>
      <c r="C6" s="3606"/>
      <c r="D6" s="3606"/>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607" t="s">
        <v>942</v>
      </c>
      <c r="B11" s="3608"/>
      <c r="C11" s="3608"/>
      <c r="D11" s="3608"/>
    </row>
    <row r="12" spans="1:4" ht="15.75">
      <c r="A12" s="36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9"/>
      <c r="C12" s="3609"/>
      <c r="D12" s="3609"/>
    </row>
    <row r="13" spans="1:4" ht="30" customHeight="1">
      <c r="A13" s="36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9"/>
      <c r="C13" s="3609"/>
      <c r="D13" s="3609"/>
    </row>
    <row r="14" spans="1:4" ht="15.75" customHeight="1">
      <c r="A14" s="3608" t="str">
        <f>IF(项目基本情况!B8="抵押","4.本次评估估价师所知悉的法定优先受偿款情况说明如下：","——")</f>
        <v>4.本次评估估价师所知悉的法定优先受偿款情况说明如下：</v>
      </c>
      <c r="B14" s="3609"/>
      <c r="C14" s="3609"/>
      <c r="D14" s="3609"/>
    </row>
    <row r="15" spans="1:4" ht="42" customHeight="1">
      <c r="A15" s="36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8"/>
      <c r="C15" s="3608"/>
      <c r="D15" s="3608"/>
    </row>
    <row r="16" spans="1:4" ht="30" customHeight="1">
      <c r="A16" s="3611" t="s">
        <v>943</v>
      </c>
      <c r="B16" s="3611"/>
      <c r="C16" s="3611"/>
      <c r="D16" s="3611"/>
    </row>
    <row r="17" spans="1:4" ht="144" customHeight="1">
      <c r="A17" s="3611" t="s">
        <v>944</v>
      </c>
      <c r="B17" s="3611"/>
      <c r="C17" s="3611"/>
      <c r="D17" s="3611"/>
    </row>
    <row r="18" spans="1:4" ht="15.75" customHeight="1">
      <c r="A18" s="3608" t="str">
        <f>IF(项目基本情况!B8="抵押",结果表!K120,"——")</f>
        <v>故，本次评估不存在</v>
      </c>
      <c r="B18" s="3608"/>
      <c r="C18" s="3608"/>
      <c r="D18" s="3608"/>
    </row>
    <row r="19" spans="1:4" ht="46.5" customHeight="1">
      <c r="A19" s="36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8"/>
      <c r="C19" s="3608"/>
      <c r="D19" s="3608"/>
    </row>
    <row r="20" spans="1:4" ht="57.75" customHeight="1">
      <c r="A20" s="36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8"/>
      <c r="C20" s="3608"/>
      <c r="D20" s="3608"/>
    </row>
    <row r="21" spans="1:4" ht="57.75" customHeight="1">
      <c r="A21" s="36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2"/>
      <c r="C21" s="3612"/>
      <c r="D21" s="3612"/>
    </row>
    <row r="22" spans="1:4" ht="18.75" customHeight="1">
      <c r="A22" s="3613" t="s">
        <v>945</v>
      </c>
      <c r="B22" s="3613"/>
      <c r="C22" s="3613"/>
      <c r="D22" s="3613"/>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610">
        <v>42551</v>
      </c>
      <c r="D31" s="36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19" t="s">
        <v>956</v>
      </c>
      <c r="B15" s="3614" t="s">
        <v>109</v>
      </c>
      <c r="C15" s="3615"/>
    </row>
    <row r="16" spans="1:7" ht="13.5">
      <c r="A16" s="3620"/>
      <c r="B16" s="3614" t="s">
        <v>42</v>
      </c>
      <c r="C16" s="3615"/>
    </row>
    <row r="17" spans="1:3" ht="13.5">
      <c r="A17" s="3620"/>
      <c r="B17" s="3617" t="s">
        <v>957</v>
      </c>
      <c r="C17" s="1527" t="s">
        <v>956</v>
      </c>
    </row>
    <row r="18" spans="1:3" ht="13.5">
      <c r="A18" s="3620"/>
      <c r="B18" s="3617"/>
      <c r="C18" s="1527" t="s">
        <v>958</v>
      </c>
    </row>
    <row r="19" spans="1:3" ht="13.5">
      <c r="A19" s="3620"/>
      <c r="B19" s="3617"/>
      <c r="C19" s="1527" t="s">
        <v>959</v>
      </c>
    </row>
    <row r="20" spans="1:3" ht="13.5">
      <c r="A20" s="3621"/>
      <c r="B20" s="3616" t="s">
        <v>960</v>
      </c>
      <c r="C20" s="3615"/>
    </row>
    <row r="21" spans="1:3" ht="13.5">
      <c r="A21" s="1528" t="s">
        <v>961</v>
      </c>
      <c r="B21" s="1529"/>
      <c r="C21" s="1530"/>
    </row>
    <row r="22" spans="1:3" ht="13.5">
      <c r="A22" s="3618" t="s">
        <v>962</v>
      </c>
      <c r="B22" s="3616" t="s">
        <v>963</v>
      </c>
      <c r="C22" s="3615"/>
    </row>
    <row r="23" spans="1:3" ht="13.5">
      <c r="A23" s="3618"/>
      <c r="B23" s="3616" t="s">
        <v>964</v>
      </c>
      <c r="C23" s="3615"/>
    </row>
    <row r="24" spans="1:3" ht="13.5">
      <c r="A24" s="3618"/>
      <c r="B24" s="3616" t="s">
        <v>965</v>
      </c>
      <c r="C24" s="3615"/>
    </row>
    <row r="25" spans="1:3" ht="13.5">
      <c r="A25" s="3618"/>
      <c r="B25" s="3617" t="s">
        <v>966</v>
      </c>
      <c r="C25" s="1527" t="s">
        <v>967</v>
      </c>
    </row>
    <row r="26" spans="1:3" ht="13.5">
      <c r="A26" s="3618"/>
      <c r="B26" s="3617"/>
      <c r="C26" s="1527" t="s">
        <v>968</v>
      </c>
    </row>
    <row r="27" spans="1:3" ht="13.5">
      <c r="A27" s="3618"/>
      <c r="B27" s="3617"/>
      <c r="C27" s="1527" t="s">
        <v>969</v>
      </c>
    </row>
    <row r="28" spans="1:3" ht="13.5">
      <c r="A28" s="3618"/>
      <c r="B28" s="3617"/>
      <c r="C28" s="1527" t="s">
        <v>970</v>
      </c>
    </row>
    <row r="29" spans="1:3" ht="13.5">
      <c r="A29" s="3618"/>
      <c r="B29" s="3617"/>
      <c r="C29" s="1527" t="s">
        <v>971</v>
      </c>
    </row>
    <row r="30" spans="1:3" ht="13.5">
      <c r="A30" s="3618"/>
      <c r="B30" s="3617"/>
      <c r="C30" s="1527" t="s">
        <v>972</v>
      </c>
    </row>
    <row r="31" spans="1:3" ht="13.5">
      <c r="A31" s="3618"/>
      <c r="B31" s="3617"/>
      <c r="C31" s="1527" t="s">
        <v>973</v>
      </c>
    </row>
    <row r="32" spans="1:3" ht="13.5">
      <c r="A32" s="3618"/>
      <c r="B32" s="3617"/>
      <c r="C32" s="1527" t="s">
        <v>974</v>
      </c>
    </row>
    <row r="33" spans="1:3" ht="13.5">
      <c r="A33" s="3618"/>
      <c r="B33" s="361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45492</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t="str">
        <f ca="1">IF(C6&lt;B2,"已过期",1120050019)</f>
        <v>已过期</v>
      </c>
      <c r="C6" s="2340">
        <v>45410</v>
      </c>
      <c r="D6" s="2341" t="str">
        <f t="shared" ca="1" si="0"/>
        <v>王鹏（注册号：已过期）</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t="str">
        <f ca="1">IF(C13&lt;B2,"已过期",1120020033)</f>
        <v>已过期</v>
      </c>
      <c r="C13" s="2340">
        <v>45375</v>
      </c>
      <c r="D13" s="2341" t="str">
        <f t="shared" ca="1" si="0"/>
        <v>刘敬东（注册号：已过期）</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22" t="s">
        <v>2142</v>
      </c>
      <c r="B17" s="3622"/>
      <c r="C17" s="3622"/>
      <c r="D17" s="3622"/>
      <c r="E17" s="3622"/>
      <c r="F17" s="3622"/>
      <c r="G17" s="3622"/>
      <c r="H17" s="3622"/>
    </row>
    <row r="18" spans="1:8" ht="24" customHeight="1">
      <c r="A18" s="3623" t="s">
        <v>2143</v>
      </c>
      <c r="B18" s="3623"/>
      <c r="C18" s="3623"/>
      <c r="D18" s="2338"/>
      <c r="E18" s="3624" t="s">
        <v>2144</v>
      </c>
      <c r="F18" s="3623"/>
      <c r="G18" s="3623"/>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4"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2024-07-19T06:48:06Z</dcterms:modified>
</cp:coreProperties>
</file>