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2024-1-1024海淀法院-交易中心\"/>
    </mc:Choice>
  </mc:AlternateContent>
  <xr:revisionPtr revIDLastSave="0" documentId="13_ncr:1_{14C1F673-8349-41B7-82C5-C096496F21E8}"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E105" i="34"/>
  <c r="F105" i="34" s="1"/>
  <c r="G105" i="34" s="1"/>
  <c r="D105" i="34"/>
  <c r="B14" i="74"/>
  <c r="B3" i="4"/>
  <c r="I5" i="34"/>
  <c r="G5" i="34"/>
  <c r="E5" i="34"/>
  <c r="C34" i="34"/>
  <c r="D14" i="9"/>
  <c r="D33" i="43"/>
  <c r="Y6" i="1"/>
  <c r="N19" i="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7"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I5" i="3" s="1"/>
  <c r="BJ493" i="3"/>
  <c r="BK493" i="3"/>
  <c r="BM493" i="3"/>
  <c r="BN493" i="3"/>
  <c r="BO493" i="3"/>
  <c r="BP493" i="3"/>
  <c r="BR493" i="3"/>
  <c r="BS493" i="3"/>
  <c r="BS5" i="3" s="1"/>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BB496" i="3"/>
  <c r="BC496" i="3"/>
  <c r="BC5" i="3" s="1"/>
  <c r="BD496" i="3"/>
  <c r="BE496" i="3"/>
  <c r="BF496" i="3"/>
  <c r="BG496" i="3"/>
  <c r="BH496" i="3"/>
  <c r="BI496" i="3"/>
  <c r="BJ496" i="3"/>
  <c r="BK496" i="3"/>
  <c r="BK5" i="3" s="1"/>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H5" i="3" s="1"/>
  <c r="AC498" i="3"/>
  <c r="BB498" i="3"/>
  <c r="BC498" i="3"/>
  <c r="BD498" i="3"/>
  <c r="BA498" i="3" s="1"/>
  <c r="BE498" i="3"/>
  <c r="BF498" i="3"/>
  <c r="BG498" i="3"/>
  <c r="BH498" i="3"/>
  <c r="BH5" i="3" s="1"/>
  <c r="BI498" i="3"/>
  <c r="BJ498" i="3"/>
  <c r="BK498" i="3"/>
  <c r="BM498" i="3"/>
  <c r="BM5" i="3" s="1"/>
  <c r="BN498" i="3"/>
  <c r="BO498" i="3"/>
  <c r="BP498" i="3"/>
  <c r="BQ498" i="3"/>
  <c r="BR498" i="3"/>
  <c r="BS498" i="3"/>
  <c r="BT498" i="3"/>
  <c r="H499" i="3"/>
  <c r="G499" i="3" s="1"/>
  <c r="AC499" i="3"/>
  <c r="BB499" i="3"/>
  <c r="BC499" i="3"/>
  <c r="BD499" i="3"/>
  <c r="BA499" i="3" s="1"/>
  <c r="AZ499" i="3" s="1"/>
  <c r="BE499" i="3"/>
  <c r="BF499" i="3"/>
  <c r="BG499" i="3"/>
  <c r="BH499" i="3"/>
  <c r="BI499" i="3"/>
  <c r="BJ499" i="3"/>
  <c r="BK499" i="3"/>
  <c r="BM499" i="3"/>
  <c r="BN499" i="3"/>
  <c r="BO499" i="3"/>
  <c r="BP499" i="3"/>
  <c r="BR499" i="3"/>
  <c r="BR5" i="3" s="1"/>
  <c r="BS499" i="3"/>
  <c r="BT499" i="3"/>
  <c r="H500" i="3"/>
  <c r="AC500" i="3"/>
  <c r="G500" i="3" s="1"/>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AZ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A512" i="3" s="1"/>
  <c r="AZ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U12" i="34" s="1"/>
  <c r="F12" i="34"/>
  <c r="S12" i="34" s="1"/>
  <c r="Q11" i="34"/>
  <c r="Z11" i="34" s="1"/>
  <c r="Q10" i="34"/>
  <c r="Z10" i="34"/>
  <c r="F10" i="34"/>
  <c r="AA10" i="34" s="1"/>
  <c r="Q9" i="34"/>
  <c r="Z9" i="34"/>
  <c r="J9" i="34"/>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S31" i="35"/>
  <c r="F36" i="34"/>
  <c r="AA36" i="34" s="1"/>
  <c r="J35" i="34"/>
  <c r="H39" i="33"/>
  <c r="AB39" i="33" s="1"/>
  <c r="U33" i="33"/>
  <c r="S40" i="33"/>
  <c r="W33"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B8" i="39"/>
  <c r="AB12" i="35"/>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c r="F16" i="35"/>
  <c r="S16" i="35" s="1"/>
  <c r="H14" i="35"/>
  <c r="AB14" i="35"/>
  <c r="J29" i="35"/>
  <c r="AC29" i="35" s="1"/>
  <c r="H33" i="35"/>
  <c r="J20" i="35"/>
  <c r="W20" i="35"/>
  <c r="F35" i="37"/>
  <c r="S35" i="37" s="1"/>
  <c r="E101" i="37"/>
  <c r="F101" i="37"/>
  <c r="G101" i="37"/>
  <c r="H101" i="37" s="1"/>
  <c r="I101" i="37" s="1"/>
  <c r="J101" i="37" s="1"/>
  <c r="K101" i="37"/>
  <c r="L101" i="37" s="1"/>
  <c r="M101" i="37" s="1"/>
  <c r="J34" i="37"/>
  <c r="W34" i="37"/>
  <c r="J33" i="37"/>
  <c r="AC33" i="37" s="1"/>
  <c r="U42" i="34"/>
  <c r="H40" i="34"/>
  <c r="U40" i="34"/>
  <c r="E114" i="34"/>
  <c r="H36" i="34"/>
  <c r="U36" i="34" s="1"/>
  <c r="F37" i="34"/>
  <c r="AA37" i="34" s="1"/>
  <c r="S35" i="34"/>
  <c r="F28" i="34"/>
  <c r="AA28" i="34" s="1"/>
  <c r="F25" i="34"/>
  <c r="S25" i="34" s="1"/>
  <c r="H23" i="34"/>
  <c r="U23" i="34"/>
  <c r="J23" i="34"/>
  <c r="W23" i="34" s="1"/>
  <c r="F19" i="34"/>
  <c r="H17" i="34"/>
  <c r="AB17" i="34" s="1"/>
  <c r="F15" i="34"/>
  <c r="AA15" i="34" s="1"/>
  <c r="J15" i="34"/>
  <c r="H15" i="34"/>
  <c r="AB15" i="34" s="1"/>
  <c r="W8" i="34"/>
  <c r="J28" i="34"/>
  <c r="W28" i="34" s="1"/>
  <c r="F41" i="33"/>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F29" i="35"/>
  <c r="S29" i="35" s="1"/>
  <c r="H29" i="35"/>
  <c r="AB29" i="35" s="1"/>
  <c r="H33" i="37"/>
  <c r="F33" i="37"/>
  <c r="AA33" i="37" s="1"/>
  <c r="S34" i="37"/>
  <c r="AA34" i="37"/>
  <c r="J43" i="34"/>
  <c r="W43" i="34" s="1"/>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W14" i="21"/>
  <c r="F14" i="21"/>
  <c r="S14" i="21" s="1"/>
  <c r="H14" i="21"/>
  <c r="U14" i="21" s="1"/>
  <c r="H30" i="21"/>
  <c r="U30" i="21"/>
  <c r="F30" i="21"/>
  <c r="S30" i="21" s="1"/>
  <c r="AC30" i="21"/>
  <c r="J44" i="21"/>
  <c r="AC44" i="21" s="1"/>
  <c r="H44" i="21"/>
  <c r="U44" i="21" s="1"/>
  <c r="F44" i="21"/>
  <c r="AA44" i="21" s="1"/>
  <c r="H46" i="21"/>
  <c r="U46" i="21" s="1"/>
  <c r="J46" i="21"/>
  <c r="F46" i="21"/>
  <c r="AA46" i="21"/>
  <c r="H28" i="33"/>
  <c r="U28" i="33"/>
  <c r="F28" i="33"/>
  <c r="AA28" i="33"/>
  <c r="J28" i="33"/>
  <c r="W28" i="33"/>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AB45" i="33" s="1"/>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H30" i="33"/>
  <c r="AB30" i="33"/>
  <c r="F30" i="33"/>
  <c r="AA30" i="33" s="1"/>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U46" i="33"/>
  <c r="J36" i="37"/>
  <c r="AC36" i="37" s="1"/>
  <c r="J10" i="36"/>
  <c r="AC10" i="36" s="1"/>
  <c r="AB30" i="21"/>
  <c r="S11" i="36"/>
  <c r="AB46" i="34"/>
  <c r="S45" i="33"/>
  <c r="BA586" i="3"/>
  <c r="BA585" i="3"/>
  <c r="F17" i="21"/>
  <c r="AA17" i="21" s="1"/>
  <c r="H17" i="21"/>
  <c r="AB17" i="21" s="1"/>
  <c r="F15" i="21"/>
  <c r="S15" i="21" s="1"/>
  <c r="J41" i="39"/>
  <c r="W41" i="39" s="1"/>
  <c r="W44" i="39"/>
  <c r="U36" i="39"/>
  <c r="S35" i="39"/>
  <c r="G540" i="3"/>
  <c r="G532" i="3"/>
  <c r="G531" i="3"/>
  <c r="G523" i="3"/>
  <c r="G518" i="3"/>
  <c r="G510" i="3"/>
  <c r="G504" i="3"/>
  <c r="G496" i="3"/>
  <c r="G580" i="3"/>
  <c r="G576" i="3"/>
  <c r="G572" i="3"/>
  <c r="G568" i="3"/>
  <c r="G564" i="3"/>
  <c r="G560" i="3"/>
  <c r="G554" i="3"/>
  <c r="BL580" i="3"/>
  <c r="BL576" i="3"/>
  <c r="BL572" i="3"/>
  <c r="BL568" i="3"/>
  <c r="BL564" i="3"/>
  <c r="BL560" i="3"/>
  <c r="AZ560" i="3" s="1"/>
  <c r="BL554" i="3"/>
  <c r="BL534" i="3"/>
  <c r="BL512" i="3"/>
  <c r="BL578" i="3"/>
  <c r="BL574" i="3"/>
  <c r="BL570" i="3"/>
  <c r="BL566" i="3"/>
  <c r="BL562" i="3"/>
  <c r="BL556" i="3"/>
  <c r="BL552" i="3"/>
  <c r="BL536" i="3"/>
  <c r="G533" i="3"/>
  <c r="G525" i="3"/>
  <c r="BL500" i="3"/>
  <c r="BA580" i="3"/>
  <c r="AZ580" i="3" s="1"/>
  <c r="BA578" i="3"/>
  <c r="BA576" i="3"/>
  <c r="BA574" i="3"/>
  <c r="AZ574" i="3" s="1"/>
  <c r="BA572" i="3"/>
  <c r="AZ572" i="3" s="1"/>
  <c r="BA570" i="3"/>
  <c r="BA568" i="3"/>
  <c r="BA566" i="3"/>
  <c r="AZ566" i="3" s="1"/>
  <c r="BA564" i="3"/>
  <c r="AZ564" i="3" s="1"/>
  <c r="BA562" i="3"/>
  <c r="BA560" i="3"/>
  <c r="BA558" i="3"/>
  <c r="AZ558" i="3"/>
  <c r="BA556" i="3"/>
  <c r="AZ556" i="3" s="1"/>
  <c r="BA554" i="3"/>
  <c r="AZ554" i="3"/>
  <c r="BA552" i="3"/>
  <c r="AZ552" i="3" s="1"/>
  <c r="BA542" i="3"/>
  <c r="BA536" i="3"/>
  <c r="AZ536" i="3" s="1"/>
  <c r="BA520" i="3"/>
  <c r="BA504" i="3"/>
  <c r="BA496" i="3"/>
  <c r="BA587" i="3"/>
  <c r="BA581" i="3"/>
  <c r="BA579" i="3"/>
  <c r="BA577" i="3"/>
  <c r="BA575" i="3"/>
  <c r="BA573" i="3"/>
  <c r="BA571" i="3"/>
  <c r="BA569" i="3"/>
  <c r="BA567" i="3"/>
  <c r="BA565" i="3"/>
  <c r="AZ565" i="3" s="1"/>
  <c r="BA563" i="3"/>
  <c r="BA561" i="3"/>
  <c r="BA559" i="3"/>
  <c r="BA555" i="3"/>
  <c r="BA553" i="3"/>
  <c r="BA543" i="3"/>
  <c r="BA531" i="3"/>
  <c r="BA519" i="3"/>
  <c r="BA507" i="3"/>
  <c r="BA495"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1" i="3"/>
  <c r="G539" i="3"/>
  <c r="G537" i="3"/>
  <c r="BQ555" i="3"/>
  <c r="BL555" i="3"/>
  <c r="BQ553" i="3"/>
  <c r="BL553" i="3" s="1"/>
  <c r="AZ553" i="3"/>
  <c r="BQ551" i="3"/>
  <c r="BQ549" i="3"/>
  <c r="BQ547" i="3"/>
  <c r="BL547" i="3" s="1"/>
  <c r="BQ545" i="3"/>
  <c r="BQ543" i="3"/>
  <c r="BQ541" i="3"/>
  <c r="BQ539" i="3"/>
  <c r="BQ537" i="3"/>
  <c r="BQ535" i="3"/>
  <c r="BQ533" i="3"/>
  <c r="BQ531" i="3"/>
  <c r="BQ529" i="3"/>
  <c r="BQ527" i="3"/>
  <c r="BQ525" i="3"/>
  <c r="BQ523" i="3"/>
  <c r="AC521" i="3"/>
  <c r="G521" i="3"/>
  <c r="BQ521" i="3"/>
  <c r="G519" i="3"/>
  <c r="G517" i="3"/>
  <c r="G511" i="3"/>
  <c r="BQ519" i="3"/>
  <c r="BQ517" i="3"/>
  <c r="BQ515" i="3"/>
  <c r="BL515" i="3" s="1"/>
  <c r="BQ513" i="3"/>
  <c r="BQ511" i="3"/>
  <c r="BA509" i="3"/>
  <c r="AC509" i="3"/>
  <c r="BQ509" i="3"/>
  <c r="BL508" i="3"/>
  <c r="G505" i="3"/>
  <c r="G503" i="3"/>
  <c r="G501" i="3"/>
  <c r="G497" i="3"/>
  <c r="G495"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C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118" i="9"/>
  <c r="A4" i="52"/>
  <c r="B41" i="72" s="1"/>
  <c r="J11" i="39"/>
  <c r="AC11" i="39" s="1"/>
  <c r="F11" i="39"/>
  <c r="S11" i="39" s="1"/>
  <c r="AA11" i="39"/>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G189" i="3"/>
  <c r="BA191" i="3"/>
  <c r="AZ191" i="3"/>
  <c r="BL192" i="3"/>
  <c r="G193" i="3"/>
  <c r="BA195" i="3"/>
  <c r="AZ195" i="3"/>
  <c r="BL196" i="3"/>
  <c r="G197" i="3"/>
  <c r="BA199" i="3"/>
  <c r="BL200" i="3"/>
  <c r="G201" i="3"/>
  <c r="BA203" i="3"/>
  <c r="AZ203" i="3" s="1"/>
  <c r="BL204" i="3"/>
  <c r="AZ204" i="3" s="1"/>
  <c r="AZ79" i="3"/>
  <c r="AZ120"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49" i="3"/>
  <c r="AZ269" i="3"/>
  <c r="BA379" i="3"/>
  <c r="AZ379" i="3" s="1"/>
  <c r="BL380" i="3"/>
  <c r="G381" i="3"/>
  <c r="BA383" i="3"/>
  <c r="AZ383" i="3" s="1"/>
  <c r="BL384" i="3"/>
  <c r="G385" i="3"/>
  <c r="BA387" i="3"/>
  <c r="BL388" i="3"/>
  <c r="AZ388" i="3" s="1"/>
  <c r="G389" i="3"/>
  <c r="BA391" i="3"/>
  <c r="BL392" i="3"/>
  <c r="G393" i="3"/>
  <c r="BO5" i="3"/>
  <c r="BF5" i="3"/>
  <c r="AZ341" i="3"/>
  <c r="AC5" i="3"/>
  <c r="G548" i="3"/>
  <c r="G538" i="3"/>
  <c r="G502" i="3"/>
  <c r="BP5" i="3"/>
  <c r="BG5" i="3"/>
  <c r="G17" i="3"/>
  <c r="BA17" i="3"/>
  <c r="AZ368" i="3"/>
  <c r="BA15" i="3"/>
  <c r="AZ15" i="3" s="1"/>
  <c r="AZ380" i="3"/>
  <c r="AZ392" i="3"/>
  <c r="G509" i="3"/>
  <c r="U36" i="40"/>
  <c r="F83" i="43"/>
  <c r="H85" i="43" s="1"/>
  <c r="F50" i="43"/>
  <c r="H54" i="43" s="1"/>
  <c r="F72" i="43"/>
  <c r="H75" i="43" s="1"/>
  <c r="U17" i="39"/>
  <c r="S14" i="35"/>
  <c r="U43" i="21"/>
  <c r="U35" i="21"/>
  <c r="AC35" i="21"/>
  <c r="G10" i="1"/>
  <c r="AZ563" i="3"/>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c r="AB23" i="35"/>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71" i="3"/>
  <c r="AZ50" i="3"/>
  <c r="AZ77" i="3"/>
  <c r="F23" i="39"/>
  <c r="AA23" i="39"/>
  <c r="H27" i="36"/>
  <c r="U27" i="36" s="1"/>
  <c r="F27" i="36"/>
  <c r="AA27" i="36" s="1"/>
  <c r="H33" i="34"/>
  <c r="U33" i="34" s="1"/>
  <c r="F32" i="37"/>
  <c r="AA32" i="37"/>
  <c r="G96" i="37"/>
  <c r="H96" i="37"/>
  <c r="I96" i="37" s="1"/>
  <c r="J96" i="37" s="1"/>
  <c r="K96" i="37" s="1"/>
  <c r="L96" i="37" s="1"/>
  <c r="M96" i="37" s="1"/>
  <c r="F20" i="36"/>
  <c r="AA20" i="36" s="1"/>
  <c r="H23" i="39"/>
  <c r="U23" i="39" s="1"/>
  <c r="D48" i="9"/>
  <c r="M52" i="9" s="1"/>
  <c r="K9" i="1"/>
  <c r="M9" i="1" s="1"/>
  <c r="D93" i="9"/>
  <c r="AB34" i="36"/>
  <c r="U34" i="36"/>
  <c r="AB33" i="36"/>
  <c r="U33" i="36"/>
  <c r="AC12" i="39"/>
  <c r="W12" i="39"/>
  <c r="AC39" i="40"/>
  <c r="W39" i="40"/>
  <c r="W12" i="33"/>
  <c r="AC12" i="33"/>
  <c r="AZ473" i="3"/>
  <c r="BL14" i="3"/>
  <c r="U30" i="33"/>
  <c r="AC13" i="34"/>
  <c r="AA47" i="34"/>
  <c r="S19" i="39"/>
  <c r="F12" i="33"/>
  <c r="H12" i="39"/>
  <c r="AB12" i="39"/>
  <c r="F39" i="40"/>
  <c r="AA39" i="40" s="1"/>
  <c r="BA14" i="3"/>
  <c r="AZ286" i="3"/>
  <c r="B12" i="1"/>
  <c r="E12" i="1" s="1"/>
  <c r="B10" i="1"/>
  <c r="E10" i="1" s="1"/>
  <c r="AZ88" i="3"/>
  <c r="K12" i="1"/>
  <c r="M12" i="1" s="1"/>
  <c r="S13" i="1"/>
  <c r="AR13" i="1" s="1"/>
  <c r="R13" i="1"/>
  <c r="J51" i="67"/>
  <c r="AC34" i="33"/>
  <c r="AA34" i="33"/>
  <c r="B41" i="1"/>
  <c r="F48" i="9" s="1"/>
  <c r="O52" i="9" s="1"/>
  <c r="AB37" i="40"/>
  <c r="S35" i="40"/>
  <c r="U35" i="40"/>
  <c r="AC36" i="40"/>
  <c r="W38"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19" i="37"/>
  <c r="S19" i="37" s="1"/>
  <c r="F79" i="37"/>
  <c r="F23" i="37"/>
  <c r="S23" i="37" s="1"/>
  <c r="U23" i="37"/>
  <c r="U15" i="37"/>
  <c r="AC13" i="37"/>
  <c r="AA13" i="37"/>
  <c r="H10" i="37"/>
  <c r="AB10" i="37" s="1"/>
  <c r="F63" i="37"/>
  <c r="F11" i="37"/>
  <c r="S11" i="37" s="1"/>
  <c r="W25" i="34"/>
  <c r="U43" i="34"/>
  <c r="AC39" i="34"/>
  <c r="W41" i="34"/>
  <c r="AC42" i="34"/>
  <c r="U39" i="34"/>
  <c r="AB41" i="34"/>
  <c r="AA45" i="34"/>
  <c r="AA25" i="34"/>
  <c r="U28" i="34"/>
  <c r="AA29" i="34"/>
  <c r="S23" i="34"/>
  <c r="U15"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9"/>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U11" i="40"/>
  <c r="S31" i="40"/>
  <c r="AB13" i="40"/>
  <c r="U15" i="40"/>
  <c r="U8" i="40"/>
  <c r="S8" i="40"/>
  <c r="AA39" i="39"/>
  <c r="AC41" i="39"/>
  <c r="U42" i="39"/>
  <c r="U41" i="39"/>
  <c r="W25" i="39"/>
  <c r="AC25" i="39"/>
  <c r="AA13" i="39"/>
  <c r="S13" i="39"/>
  <c r="S14" i="39"/>
  <c r="AA14" i="39"/>
  <c r="U43" i="39"/>
  <c r="AB43"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24" i="35"/>
  <c r="U24" i="35"/>
  <c r="S35" i="35"/>
  <c r="W35" i="35"/>
  <c r="AA16" i="35"/>
  <c r="W36" i="37"/>
  <c r="S27" i="37"/>
  <c r="S28" i="37"/>
  <c r="W32" i="37"/>
  <c r="U36" i="37"/>
  <c r="U38" i="37"/>
  <c r="AB37" i="37"/>
  <c r="AC34" i="37"/>
  <c r="AB35" i="37"/>
  <c r="AA31" i="37"/>
  <c r="U19" i="37"/>
  <c r="AA29" i="37"/>
  <c r="U8" i="37"/>
  <c r="AA40" i="34"/>
  <c r="AB40" i="34"/>
  <c r="U19" i="34"/>
  <c r="W19" i="34"/>
  <c r="AC45" i="34"/>
  <c r="AA31" i="34"/>
  <c r="U25" i="34"/>
  <c r="AB36" i="34"/>
  <c r="AC32" i="34"/>
  <c r="AC29" i="34"/>
  <c r="W29" i="34"/>
  <c r="W46" i="34"/>
  <c r="AC46" i="34"/>
  <c r="S32" i="34"/>
  <c r="AA32" i="34"/>
  <c r="U30" i="34"/>
  <c r="AB30" i="34"/>
  <c r="S37" i="34"/>
  <c r="U38" i="34"/>
  <c r="AC40" i="34"/>
  <c r="W40" i="34"/>
  <c r="AA19" i="34"/>
  <c r="S19" i="34"/>
  <c r="S36" i="34"/>
  <c r="AB9" i="34"/>
  <c r="U9" i="34"/>
  <c r="S46" i="34"/>
  <c r="AA46" i="34"/>
  <c r="U32" i="34"/>
  <c r="AB32" i="34"/>
  <c r="U14" i="34"/>
  <c r="AB14" i="34"/>
  <c r="AC43" i="34"/>
  <c r="AC35" i="34"/>
  <c r="W35" i="34"/>
  <c r="AB28" i="33"/>
  <c r="AC37" i="33"/>
  <c r="W46" i="33"/>
  <c r="U39" i="33"/>
  <c r="U38" i="33"/>
  <c r="S33" i="33"/>
  <c r="AB34" i="33"/>
  <c r="U44" i="33"/>
  <c r="AB44" i="33"/>
  <c r="S30" i="33"/>
  <c r="AC14" i="33"/>
  <c r="W14" i="33"/>
  <c r="AC30" i="33"/>
  <c r="W30" i="33"/>
  <c r="S31" i="33"/>
  <c r="AA31" i="33"/>
  <c r="W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AC34" i="21"/>
  <c r="AB36" i="21"/>
  <c r="C19" i="39"/>
  <c r="C15" i="40"/>
  <c r="C17" i="40"/>
  <c r="C23" i="40"/>
  <c r="C21" i="40"/>
  <c r="U30" i="40"/>
  <c r="B56" i="43"/>
  <c r="B67" i="43"/>
  <c r="B51" i="43"/>
  <c r="B54" i="43"/>
  <c r="B58" i="43"/>
  <c r="B62" i="43"/>
  <c r="B65" i="43"/>
  <c r="B69" i="43"/>
  <c r="E4" i="4"/>
  <c r="B5" i="62" s="1"/>
  <c r="B73" i="72" s="1"/>
  <c r="C4" i="4"/>
  <c r="S39" i="40"/>
  <c r="S12" i="33"/>
  <c r="AA12" i="33"/>
  <c r="J32" i="39"/>
  <c r="AC32" i="39" s="1"/>
  <c r="H32" i="39"/>
  <c r="AB32" i="39" s="1"/>
  <c r="AA32" i="39"/>
  <c r="S32" i="39"/>
  <c r="AB21" i="39"/>
  <c r="U21" i="39"/>
  <c r="AA21" i="39"/>
  <c r="S21" i="39"/>
  <c r="S17" i="37"/>
  <c r="J19" i="37"/>
  <c r="W19" i="37" s="1"/>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AA23" i="21"/>
  <c r="AB15" i="21"/>
  <c r="J23" i="21"/>
  <c r="F85" i="21"/>
  <c r="G85" i="21" s="1"/>
  <c r="H23" i="21"/>
  <c r="U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E13" i="76"/>
  <c r="B7" i="76"/>
  <c r="F6" i="15"/>
  <c r="F4" i="73"/>
  <c r="M28" i="67"/>
  <c r="M29" i="15"/>
  <c r="E9" i="76"/>
  <c r="F37" i="67"/>
  <c r="L47" i="15"/>
  <c r="M24" i="15"/>
  <c r="F5" i="73"/>
  <c r="F43" i="67"/>
  <c r="AO13" i="1"/>
  <c r="F20" i="31"/>
  <c r="M22" i="15"/>
  <c r="M9" i="15"/>
  <c r="B12" i="76"/>
  <c r="E12" i="76"/>
  <c r="F7" i="73"/>
  <c r="M6" i="15"/>
  <c r="F6" i="73"/>
  <c r="F13" i="67"/>
  <c r="B13" i="76"/>
  <c r="B10" i="76"/>
  <c r="M23" i="15"/>
  <c r="L48" i="15"/>
  <c r="F38" i="67"/>
  <c r="B11" i="76"/>
  <c r="B8" i="76"/>
  <c r="D6" i="73"/>
  <c r="F8" i="67"/>
  <c r="M8" i="67"/>
  <c r="E10" i="76"/>
  <c r="M24" i="67"/>
  <c r="J15" i="15"/>
  <c r="M26" i="67"/>
  <c r="F40" i="15"/>
  <c r="M6" i="67"/>
  <c r="M8" i="15"/>
  <c r="E2" i="69"/>
  <c r="F37" i="15"/>
  <c r="F43" i="15"/>
  <c r="M22" i="67"/>
  <c r="M9" i="67"/>
  <c r="D34" i="9"/>
  <c r="C76" i="67"/>
  <c r="F16" i="15"/>
  <c r="B9" i="76"/>
  <c r="E11" i="76"/>
  <c r="E7" i="76"/>
  <c r="F40" i="67"/>
  <c r="E2" i="68"/>
  <c r="F9" i="15"/>
  <c r="M29" i="67"/>
  <c r="J15" i="67"/>
  <c r="F36" i="67"/>
  <c r="F38" i="15"/>
  <c r="M26" i="15"/>
  <c r="E8" i="76"/>
  <c r="F3" i="73"/>
  <c r="D35" i="9"/>
  <c r="F8" i="15"/>
  <c r="F16" i="67"/>
  <c r="C18" i="9" l="1"/>
  <c r="D18" i="9" s="1"/>
  <c r="AB8" i="34"/>
  <c r="AA8" i="34"/>
  <c r="F6" i="1"/>
  <c r="D23" i="15"/>
  <c r="D22" i="15"/>
  <c r="AC27" i="34"/>
  <c r="U27" i="34"/>
  <c r="AC12" i="34"/>
  <c r="AB12" i="34"/>
  <c r="J33" i="34"/>
  <c r="AC33" i="34" s="1"/>
  <c r="AB33" i="34"/>
  <c r="AA33" i="34"/>
  <c r="U17" i="34"/>
  <c r="M18" i="67"/>
  <c r="F30" i="11"/>
  <c r="C48" i="11" s="1"/>
  <c r="M18" i="15"/>
  <c r="F32" i="15"/>
  <c r="F60" i="15" s="1"/>
  <c r="F52" i="9"/>
  <c r="F30" i="68"/>
  <c r="F48" i="68" s="1"/>
  <c r="F54" i="9"/>
  <c r="F30" i="69"/>
  <c r="F48" i="69" s="1"/>
  <c r="F31" i="12"/>
  <c r="D68" i="9"/>
  <c r="F28" i="15"/>
  <c r="F32" i="67"/>
  <c r="F60" i="67" s="1"/>
  <c r="F28" i="67"/>
  <c r="C21" i="68"/>
  <c r="C40" i="69"/>
  <c r="G22" i="11"/>
  <c r="E1" i="73"/>
  <c r="G26" i="12"/>
  <c r="G22" i="68"/>
  <c r="F29" i="6"/>
  <c r="BJ5" i="3"/>
  <c r="BN5" i="3"/>
  <c r="G29" i="6" s="1"/>
  <c r="M47" i="9"/>
  <c r="C7" i="35"/>
  <c r="C48" i="35" s="1"/>
  <c r="D48" i="35" s="1"/>
  <c r="E48" i="35" s="1"/>
  <c r="C42" i="1"/>
  <c r="C24" i="12" s="1"/>
  <c r="C7" i="34"/>
  <c r="C59" i="34" s="1"/>
  <c r="D59" i="34" s="1"/>
  <c r="E59" i="34" s="1"/>
  <c r="F59" i="34" s="1"/>
  <c r="G59" i="34" s="1"/>
  <c r="H59" i="34" s="1"/>
  <c r="I59" i="34" s="1"/>
  <c r="J59" i="34" s="1"/>
  <c r="K59" i="34" s="1"/>
  <c r="L59" i="34" s="1"/>
  <c r="M59" i="34" s="1"/>
  <c r="N59" i="34" s="1"/>
  <c r="O59" i="34" s="1"/>
  <c r="C7" i="40"/>
  <c r="C63" i="40" s="1"/>
  <c r="C7" i="39"/>
  <c r="C67" i="39" s="1"/>
  <c r="C69" i="39" s="1"/>
  <c r="H69" i="43"/>
  <c r="AA23" i="36"/>
  <c r="S23" i="36"/>
  <c r="AZ520" i="3"/>
  <c r="AZ509" i="3"/>
  <c r="AZ496" i="3"/>
  <c r="AZ546" i="3"/>
  <c r="AZ541" i="3"/>
  <c r="AZ529" i="3"/>
  <c r="AZ528" i="3"/>
  <c r="AZ525" i="3"/>
  <c r="AZ518" i="3"/>
  <c r="AZ516" i="3"/>
  <c r="AZ513" i="3"/>
  <c r="AZ510" i="3"/>
  <c r="AZ505" i="3"/>
  <c r="AZ501" i="3"/>
  <c r="AZ494" i="3"/>
  <c r="AA17" i="33"/>
  <c r="S37" i="21"/>
  <c r="AC14" i="34"/>
  <c r="AB47" i="34"/>
  <c r="AA35" i="37"/>
  <c r="U11" i="39"/>
  <c r="AB13" i="39"/>
  <c r="AC9" i="21"/>
  <c r="D6" i="52"/>
  <c r="AB27" i="33"/>
  <c r="AA23" i="37"/>
  <c r="AA15" i="21"/>
  <c r="W25" i="21"/>
  <c r="AC23" i="34"/>
  <c r="AB45" i="34"/>
  <c r="W27" i="40"/>
  <c r="S32" i="33"/>
  <c r="S17" i="34"/>
  <c r="U13" i="36"/>
  <c r="AB29" i="36"/>
  <c r="W29" i="35"/>
  <c r="U13" i="37"/>
  <c r="BB5" i="3"/>
  <c r="AZ387" i="3"/>
  <c r="AZ338" i="3"/>
  <c r="AZ371" i="3"/>
  <c r="AZ305" i="3"/>
  <c r="AZ360" i="3"/>
  <c r="BL523" i="3"/>
  <c r="AZ523" i="3" s="1"/>
  <c r="BL498" i="3"/>
  <c r="AZ498" i="3" s="1"/>
  <c r="W31" i="34"/>
  <c r="H28" i="21"/>
  <c r="U34" i="37"/>
  <c r="W39" i="33"/>
  <c r="U31" i="35"/>
  <c r="W27" i="35"/>
  <c r="AC27" i="35"/>
  <c r="AB23" i="21"/>
  <c r="S13" i="21"/>
  <c r="AC17" i="37"/>
  <c r="W30" i="40"/>
  <c r="AA30" i="34"/>
  <c r="S40" i="37"/>
  <c r="AB17" i="40"/>
  <c r="S37" i="40"/>
  <c r="W15" i="21"/>
  <c r="S43" i="34"/>
  <c r="U32" i="37"/>
  <c r="S23" i="40"/>
  <c r="AZ14" i="3"/>
  <c r="S15" i="37"/>
  <c r="BL493" i="3"/>
  <c r="AZ493" i="3" s="1"/>
  <c r="BE5" i="3"/>
  <c r="BD5" i="3"/>
  <c r="AZ391" i="3"/>
  <c r="AZ318" i="3"/>
  <c r="AZ364" i="3"/>
  <c r="AZ329" i="3"/>
  <c r="AZ304" i="3"/>
  <c r="G498" i="3"/>
  <c r="AZ306" i="3"/>
  <c r="W11" i="39"/>
  <c r="W35" i="40"/>
  <c r="AC13" i="40"/>
  <c r="W15" i="37"/>
  <c r="BL535" i="3"/>
  <c r="AZ535" i="3" s="1"/>
  <c r="AZ571" i="3"/>
  <c r="AZ579" i="3"/>
  <c r="AZ570" i="3"/>
  <c r="AZ585" i="3"/>
  <c r="AA14" i="33"/>
  <c r="S14" i="34"/>
  <c r="AA14" i="34"/>
  <c r="AA44" i="34"/>
  <c r="AA29" i="35"/>
  <c r="S44" i="33"/>
  <c r="AA44" i="33"/>
  <c r="AC22" i="35"/>
  <c r="W22" i="35"/>
  <c r="AB35" i="33"/>
  <c r="U35" i="33"/>
  <c r="AB34" i="35"/>
  <c r="U34" i="35"/>
  <c r="F32" i="36"/>
  <c r="H32" i="36"/>
  <c r="U30" i="36"/>
  <c r="AB30" i="36"/>
  <c r="BA584" i="3"/>
  <c r="AZ584" i="3" s="1"/>
  <c r="BL582" i="3"/>
  <c r="AZ582" i="3" s="1"/>
  <c r="BL550" i="3"/>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BL524" i="3"/>
  <c r="AZ524" i="3" s="1"/>
  <c r="BA522" i="3"/>
  <c r="AZ522" i="3" s="1"/>
  <c r="BL521" i="3"/>
  <c r="AZ521" i="3" s="1"/>
  <c r="BA521" i="3"/>
  <c r="BA515" i="3"/>
  <c r="AZ515" i="3" s="1"/>
  <c r="BA514" i="3"/>
  <c r="AZ514" i="3" s="1"/>
  <c r="BL506" i="3"/>
  <c r="AZ506" i="3" s="1"/>
  <c r="BA505" i="3"/>
  <c r="BL504" i="3"/>
  <c r="AZ504" i="3" s="1"/>
  <c r="BA497" i="3"/>
  <c r="AZ497" i="3" s="1"/>
  <c r="AZ547" i="3"/>
  <c r="AA14" i="21"/>
  <c r="S13" i="34"/>
  <c r="AB35" i="34"/>
  <c r="S14" i="36"/>
  <c r="W28" i="37"/>
  <c r="AZ345" i="3"/>
  <c r="AZ372" i="3"/>
  <c r="AZ337" i="3"/>
  <c r="AZ376" i="3"/>
  <c r="AZ309" i="3"/>
  <c r="AC12" i="37"/>
  <c r="BL503" i="3"/>
  <c r="AZ503" i="3" s="1"/>
  <c r="BL511" i="3"/>
  <c r="AZ511" i="3" s="1"/>
  <c r="BL527" i="3"/>
  <c r="AZ527" i="3" s="1"/>
  <c r="BL539" i="3"/>
  <c r="AZ539" i="3" s="1"/>
  <c r="BL543" i="3"/>
  <c r="AZ543" i="3" s="1"/>
  <c r="AZ575" i="3"/>
  <c r="AC28" i="21"/>
  <c r="F28" i="21"/>
  <c r="B97" i="43"/>
  <c r="B75" i="43"/>
  <c r="J26" i="33"/>
  <c r="F26" i="33"/>
  <c r="H26" i="33"/>
  <c r="AC9" i="34"/>
  <c r="W9" i="34"/>
  <c r="H23" i="36"/>
  <c r="J23" i="36"/>
  <c r="AC31" i="40"/>
  <c r="W31" i="40"/>
  <c r="BL519" i="3"/>
  <c r="AZ519" i="3" s="1"/>
  <c r="BL531" i="3"/>
  <c r="AZ531" i="3" s="1"/>
  <c r="AZ573" i="3"/>
  <c r="BL583" i="3"/>
  <c r="AZ583" i="3" s="1"/>
  <c r="AZ568" i="3"/>
  <c r="AZ576" i="3"/>
  <c r="C15" i="39"/>
  <c r="F39" i="37"/>
  <c r="S39" i="37" s="1"/>
  <c r="G587" i="3"/>
  <c r="J12" i="35"/>
  <c r="AZ402" i="3"/>
  <c r="AZ406" i="3"/>
  <c r="AZ451" i="3"/>
  <c r="BL585" i="3"/>
  <c r="U34" i="34"/>
  <c r="W28" i="35"/>
  <c r="G585" i="3"/>
  <c r="BL587" i="3"/>
  <c r="AZ587" i="3" s="1"/>
  <c r="BL586" i="3"/>
  <c r="AZ586" i="3" s="1"/>
  <c r="J36" i="35"/>
  <c r="AC36" i="35" s="1"/>
  <c r="J24" i="36"/>
  <c r="H24" i="36"/>
  <c r="G552" i="3"/>
  <c r="BL398" i="3"/>
  <c r="BL403"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BA446" i="3"/>
  <c r="BA450" i="3"/>
  <c r="BA453" i="3"/>
  <c r="BA455" i="3"/>
  <c r="AZ455" i="3" s="1"/>
  <c r="BL457" i="3"/>
  <c r="BL460" i="3"/>
  <c r="BL461" i="3"/>
  <c r="BL463" i="3"/>
  <c r="BA471" i="3"/>
  <c r="AZ471" i="3" s="1"/>
  <c r="BA398" i="3"/>
  <c r="BA399" i="3"/>
  <c r="AZ399" i="3" s="1"/>
  <c r="BL401" i="3"/>
  <c r="AZ401" i="3" s="1"/>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AZ464" i="3" s="1"/>
  <c r="BL466" i="3"/>
  <c r="G468" i="3"/>
  <c r="G469" i="3"/>
  <c r="BL476" i="3"/>
  <c r="AZ476" i="3" s="1"/>
  <c r="BL477" i="3"/>
  <c r="BL478" i="3"/>
  <c r="G479" i="3"/>
  <c r="G480" i="3"/>
  <c r="BL480" i="3"/>
  <c r="AZ480" i="3" s="1"/>
  <c r="G482"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6" i="3"/>
  <c r="AZ216" i="3" s="1"/>
  <c r="BL217" i="3"/>
  <c r="BA220" i="3"/>
  <c r="AZ228" i="3"/>
  <c r="BL230" i="3"/>
  <c r="BA233" i="3"/>
  <c r="AZ233" i="3" s="1"/>
  <c r="BA551" i="3"/>
  <c r="AZ551" i="3" s="1"/>
  <c r="BA550" i="3"/>
  <c r="AZ550" i="3" s="1"/>
  <c r="BL548" i="3"/>
  <c r="AZ548" i="3" s="1"/>
  <c r="BL16" i="3"/>
  <c r="AZ16" i="3" s="1"/>
  <c r="AZ403" i="3"/>
  <c r="AZ404" i="3"/>
  <c r="AZ405" i="3"/>
  <c r="AZ419" i="3"/>
  <c r="AZ422" i="3"/>
  <c r="AZ44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31" i="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5" i="3"/>
  <c r="AZ217" i="3"/>
  <c r="BA225" i="3"/>
  <c r="G229"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8"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270" i="3"/>
  <c r="AZ270" i="3" s="1"/>
  <c r="BA272" i="3"/>
  <c r="AZ272" i="3" s="1"/>
  <c r="BL275" i="3"/>
  <c r="AZ275" i="3" s="1"/>
  <c r="BL285" i="3"/>
  <c r="BL287" i="3"/>
  <c r="BA290" i="3"/>
  <c r="BL113" i="3"/>
  <c r="BA118" i="3"/>
  <c r="AZ118" i="3" s="1"/>
  <c r="BL118" i="3"/>
  <c r="BA144" i="3"/>
  <c r="AZ144" i="3" s="1"/>
  <c r="G152" i="3"/>
  <c r="BA153" i="3"/>
  <c r="BL155" i="3"/>
  <c r="AZ155" i="3" s="1"/>
  <c r="BL166" i="3"/>
  <c r="BL186" i="3"/>
  <c r="BA188" i="3"/>
  <c r="AZ188" i="3" s="1"/>
  <c r="BA197" i="3"/>
  <c r="G206" i="3"/>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G172" i="3"/>
  <c r="G190" i="3"/>
  <c r="BA196" i="3"/>
  <c r="AZ196" i="3" s="1"/>
  <c r="BL23" i="3"/>
  <c r="BA164" i="3"/>
  <c r="AZ164" i="3" s="1"/>
  <c r="BA166" i="3"/>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L91" i="3"/>
  <c r="BL100" i="3"/>
  <c r="BL105" i="3"/>
  <c r="AZ105" i="3" s="1"/>
  <c r="BL107" i="3"/>
  <c r="E28" i="71"/>
  <c r="AA27" i="71"/>
  <c r="AA28" i="71"/>
  <c r="D38" i="71"/>
  <c r="C39" i="71"/>
  <c r="C31" i="71"/>
  <c r="Y30" i="71"/>
  <c r="Z30" i="71" s="1"/>
  <c r="AA35" i="71"/>
  <c r="AA38" i="71"/>
  <c r="AA39" i="71"/>
  <c r="D84" i="71"/>
  <c r="C83" i="71"/>
  <c r="V24" i="71"/>
  <c r="E23" i="71"/>
  <c r="E22" i="71" s="1"/>
  <c r="E21" i="71" s="1"/>
  <c r="E20"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BL92" i="3"/>
  <c r="BL94" i="3"/>
  <c r="AZ94" i="3" s="1"/>
  <c r="BL99" i="3"/>
  <c r="BA101" i="3"/>
  <c r="AZ101" i="3" s="1"/>
  <c r="BA102" i="3"/>
  <c r="BL110" i="3"/>
  <c r="BL111" i="3"/>
  <c r="AA21" i="37"/>
  <c r="S21" i="37"/>
  <c r="P65" i="71"/>
  <c r="P66" i="71"/>
  <c r="Y26" i="71"/>
  <c r="Z26" i="71" s="1"/>
  <c r="C28" i="71"/>
  <c r="Y28" i="71"/>
  <c r="Z28" i="71" s="1"/>
  <c r="Y25" i="71"/>
  <c r="Z25" i="71" s="1"/>
  <c r="Y35" i="71"/>
  <c r="Z35" i="71" s="1"/>
  <c r="Y37" i="71"/>
  <c r="Z37" i="71" s="1"/>
  <c r="X36" i="71"/>
  <c r="X35" i="71"/>
  <c r="X38" i="71"/>
  <c r="C47" i="71"/>
  <c r="D47" i="71" s="1"/>
  <c r="D46" i="71"/>
  <c r="AA18" i="36"/>
  <c r="S18" i="36"/>
  <c r="AB32" i="71"/>
  <c r="AA34" i="71"/>
  <c r="AA30" i="71"/>
  <c r="D56" i="71"/>
  <c r="T56" i="71"/>
  <c r="C60" i="71"/>
  <c r="D59" i="71"/>
  <c r="N67" i="71"/>
  <c r="B66" i="71"/>
  <c r="F66" i="71"/>
  <c r="Q67" i="71"/>
  <c r="T80" i="71"/>
  <c r="C79" i="7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BA90" i="3"/>
  <c r="BA100" i="3"/>
  <c r="AZ100" i="3" s="1"/>
  <c r="AZ103" i="3"/>
  <c r="G109" i="3"/>
  <c r="BA111" i="3"/>
  <c r="AZ111" i="3" s="1"/>
  <c r="AC29" i="39"/>
  <c r="W29" i="39"/>
  <c r="F34" i="71"/>
  <c r="F35" i="71" s="1"/>
  <c r="F36" i="71" s="1"/>
  <c r="V36" i="71" s="1"/>
  <c r="AB33" i="71"/>
  <c r="AB28" i="71"/>
  <c r="T72" i="71"/>
  <c r="C71" i="71"/>
  <c r="U76" i="71"/>
  <c r="E75" i="71"/>
  <c r="E74" i="71" s="1"/>
  <c r="AB27" i="71"/>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71" i="67"/>
  <c r="F65" i="15"/>
  <c r="B13" i="70"/>
  <c r="F68" i="67"/>
  <c r="F64" i="67"/>
  <c r="F68" i="15"/>
  <c r="C36" i="68"/>
  <c r="D9" i="69"/>
  <c r="C36" i="69"/>
  <c r="D9" i="68"/>
  <c r="F26" i="67"/>
  <c r="L47" i="67"/>
  <c r="D7" i="73"/>
  <c r="F42" i="67"/>
  <c r="C16" i="67"/>
  <c r="M28" i="15"/>
  <c r="D3" i="73"/>
  <c r="C76" i="15"/>
  <c r="F42" i="15"/>
  <c r="D4" i="73"/>
  <c r="D5" i="73"/>
  <c r="M23" i="67"/>
  <c r="F7" i="67"/>
  <c r="F36" i="15"/>
  <c r="F13" i="15"/>
  <c r="F26" i="15"/>
  <c r="C16" i="15"/>
  <c r="F9" i="67"/>
  <c r="L48" i="67"/>
  <c r="W33" i="34" l="1"/>
  <c r="D67" i="39"/>
  <c r="D69" i="39" s="1"/>
  <c r="C30" i="68"/>
  <c r="C28" i="15"/>
  <c r="J7" i="36"/>
  <c r="W7" i="36" s="1"/>
  <c r="C48" i="68"/>
  <c r="C30" i="11"/>
  <c r="G26" i="43"/>
  <c r="N370" i="46"/>
  <c r="F26" i="43"/>
  <c r="N94" i="46"/>
  <c r="J26" i="43"/>
  <c r="E26" i="43"/>
  <c r="E59" i="40"/>
  <c r="K16" i="1"/>
  <c r="N59" i="67"/>
  <c r="L59" i="67"/>
  <c r="Q61" i="67" s="1"/>
  <c r="L58" i="67"/>
  <c r="Q73" i="67" s="1"/>
  <c r="M59" i="67"/>
  <c r="Q71" i="15"/>
  <c r="F50" i="67"/>
  <c r="F59" i="67" s="1"/>
  <c r="M7" i="67"/>
  <c r="J6" i="67" s="1"/>
  <c r="J18" i="67" s="1"/>
  <c r="F64" i="15"/>
  <c r="C27" i="67"/>
  <c r="C27" i="15"/>
  <c r="J53" i="67"/>
  <c r="Q52" i="67" s="1"/>
  <c r="L56" i="67"/>
  <c r="I54" i="67"/>
  <c r="J57" i="67"/>
  <c r="J55" i="67" s="1"/>
  <c r="J58" i="67" s="1"/>
  <c r="Q50" i="67" s="1"/>
  <c r="C36" i="71"/>
  <c r="D35" i="71"/>
  <c r="C86" i="71"/>
  <c r="D86" i="71" s="1"/>
  <c r="D87" i="71"/>
  <c r="AZ25" i="3"/>
  <c r="D60" i="71"/>
  <c r="T60" i="71"/>
  <c r="AZ59" i="3"/>
  <c r="AZ28" i="3"/>
  <c r="AZ297" i="3"/>
  <c r="AZ241" i="3"/>
  <c r="AZ197" i="3"/>
  <c r="AZ273" i="3"/>
  <c r="AZ210" i="3"/>
  <c r="AZ332" i="3"/>
  <c r="AZ460" i="3"/>
  <c r="AZ415" i="3"/>
  <c r="AZ398" i="3"/>
  <c r="AZ453" i="3"/>
  <c r="AZ429" i="3"/>
  <c r="AC24" i="36"/>
  <c r="W24" i="36"/>
  <c r="AC26" i="33"/>
  <c r="W26" i="33"/>
  <c r="AB28" i="21"/>
  <c r="U28" i="21"/>
  <c r="C44" i="71"/>
  <c r="D43" i="71"/>
  <c r="C70" i="71"/>
  <c r="D70" i="71" s="1"/>
  <c r="D71" i="71"/>
  <c r="C78" i="71"/>
  <c r="D78" i="71" s="1"/>
  <c r="D79" i="71"/>
  <c r="N65" i="71"/>
  <c r="N66" i="71"/>
  <c r="AZ61" i="3"/>
  <c r="D31" i="71"/>
  <c r="C32" i="71"/>
  <c r="AZ27" i="3"/>
  <c r="AZ166" i="3"/>
  <c r="AZ294" i="3"/>
  <c r="AZ190" i="3"/>
  <c r="AZ491" i="3"/>
  <c r="AZ459" i="3"/>
  <c r="AB32" i="36"/>
  <c r="U32" i="36"/>
  <c r="O65" i="71"/>
  <c r="D66" i="71"/>
  <c r="O66" i="71"/>
  <c r="T28" i="71"/>
  <c r="D28" i="71"/>
  <c r="U28" i="71" s="1"/>
  <c r="C27" i="71"/>
  <c r="AZ102" i="3"/>
  <c r="C40" i="71"/>
  <c r="D39" i="71"/>
  <c r="AZ186" i="3"/>
  <c r="AZ418" i="3"/>
  <c r="AZ432" i="3"/>
  <c r="W12" i="35"/>
  <c r="AC12" i="35"/>
  <c r="AC23" i="36"/>
  <c r="W23" i="36"/>
  <c r="U26" i="33"/>
  <c r="AB26" i="33"/>
  <c r="S32" i="36"/>
  <c r="AA32" i="36"/>
  <c r="J7" i="37"/>
  <c r="G5" i="3"/>
  <c r="B3" i="3" s="1"/>
  <c r="E536" i="3" s="1"/>
  <c r="C82" i="71"/>
  <c r="D82" i="71" s="1"/>
  <c r="D83" i="71"/>
  <c r="AZ31" i="3"/>
  <c r="AZ20" i="3"/>
  <c r="AZ282" i="3"/>
  <c r="AB24" i="36"/>
  <c r="U24" i="36"/>
  <c r="AB23" i="36"/>
  <c r="U23" i="36"/>
  <c r="AA26" i="33"/>
  <c r="S26" i="33"/>
  <c r="AA28" i="21"/>
  <c r="S28" i="21"/>
  <c r="K1" i="73"/>
  <c r="E539" i="3"/>
  <c r="E499" i="3"/>
  <c r="E541" i="3"/>
  <c r="AP6" i="3"/>
  <c r="E479" i="3"/>
  <c r="E192" i="3"/>
  <c r="E349" i="3"/>
  <c r="E484" i="3"/>
  <c r="E103" i="3"/>
  <c r="E371" i="3"/>
  <c r="E33" i="3"/>
  <c r="E381" i="3"/>
  <c r="E28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Q74" i="67" l="1"/>
  <c r="F1" i="67"/>
  <c r="J5" i="67"/>
  <c r="J24" i="67" s="1"/>
  <c r="M17" i="67"/>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494" i="3"/>
  <c r="E264" i="3"/>
  <c r="E355" i="3"/>
  <c r="E84" i="3"/>
  <c r="E300" i="3"/>
  <c r="E46" i="3"/>
  <c r="E59" i="3"/>
  <c r="E363" i="3"/>
  <c r="E152" i="3"/>
  <c r="E491" i="3"/>
  <c r="I3" i="6"/>
  <c r="E466" i="3"/>
  <c r="E286" i="3"/>
  <c r="E510" i="3"/>
  <c r="E291" i="3"/>
  <c r="E71" i="3"/>
  <c r="E367" i="3"/>
  <c r="U6" i="3"/>
  <c r="H6" i="3" s="1"/>
  <c r="E6" i="3" s="1"/>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21" i="3"/>
  <c r="E81" i="3"/>
  <c r="E184" i="3"/>
  <c r="E23" i="3"/>
  <c r="E249" i="3"/>
  <c r="E467" i="3"/>
  <c r="E76" i="3"/>
  <c r="E292" i="3"/>
  <c r="E37" i="3"/>
  <c r="E435" i="3"/>
  <c r="E255" i="3"/>
  <c r="E502" i="3"/>
  <c r="E199" i="3"/>
  <c r="E3" i="6"/>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513" i="3"/>
  <c r="E68" i="3"/>
  <c r="E144" i="3"/>
  <c r="E492" i="3"/>
  <c r="E160" i="3"/>
  <c r="E425" i="3"/>
  <c r="E544" i="3"/>
  <c r="E258" i="3"/>
  <c r="E56" i="3"/>
  <c r="E517" i="3"/>
  <c r="E430" i="3"/>
  <c r="R6" i="3"/>
  <c r="E212" i="3"/>
  <c r="Q60" i="67"/>
  <c r="AB7" i="36"/>
  <c r="T36" i="36" s="1"/>
  <c r="G36" i="36" s="1"/>
  <c r="C49" i="67"/>
  <c r="AA7" i="36"/>
  <c r="R36" i="36" s="1"/>
  <c r="E198" i="3"/>
  <c r="E309" i="3"/>
  <c r="E63" i="3"/>
  <c r="E233" i="3"/>
  <c r="E67" i="3"/>
  <c r="E310" i="3"/>
  <c r="E267" i="3"/>
  <c r="E64" i="3"/>
  <c r="E409" i="3"/>
  <c r="E389" i="3"/>
  <c r="E241" i="3"/>
  <c r="E95" i="3"/>
  <c r="E417" i="3"/>
  <c r="E554" i="3"/>
  <c r="E449" i="3"/>
  <c r="E442" i="3"/>
  <c r="E575" i="3"/>
  <c r="C26" i="71"/>
  <c r="D26" i="71" s="1"/>
  <c r="D27" i="71"/>
  <c r="D44" i="71"/>
  <c r="T44" i="71"/>
  <c r="T40" i="71"/>
  <c r="D40" i="71"/>
  <c r="T32" i="71"/>
  <c r="D32"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53" i="15"/>
  <c r="C48" i="15" s="1"/>
  <c r="C66" i="15" s="1"/>
  <c r="C10" i="15"/>
  <c r="C5" i="15" s="1"/>
  <c r="C38" i="15" s="1"/>
  <c r="F41" i="15"/>
  <c r="AE6" i="1"/>
  <c r="M27" i="15"/>
  <c r="M27" i="67"/>
  <c r="I46" i="37" l="1"/>
  <c r="J46" i="37" s="1"/>
  <c r="R50" i="34"/>
  <c r="C49" i="34" s="1"/>
  <c r="F22" i="68"/>
  <c r="F41" i="68" s="1"/>
  <c r="C48" i="67"/>
  <c r="C66" i="67" s="1"/>
  <c r="F24" i="67"/>
  <c r="C24" i="67" s="1"/>
  <c r="F22" i="69"/>
  <c r="F41" i="69" s="1"/>
  <c r="F24" i="15"/>
  <c r="C24" i="15" s="1"/>
  <c r="F25" i="12"/>
  <c r="C26" i="12" s="1"/>
  <c r="D25" i="12" s="1"/>
  <c r="F22" i="11"/>
  <c r="D116" i="43"/>
  <c r="G54" i="34"/>
  <c r="H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C17" i="67"/>
  <c r="F6" i="67"/>
  <c r="C14" i="67"/>
  <c r="C17" i="15"/>
  <c r="F41" i="67"/>
  <c r="F31" i="67" l="1"/>
  <c r="C6" i="67"/>
  <c r="C50" i="34"/>
  <c r="F69" i="67"/>
  <c r="C44" i="68"/>
  <c r="D41" i="68" s="1"/>
  <c r="C26" i="69"/>
  <c r="D22" i="69" s="1"/>
  <c r="H21" i="6"/>
  <c r="R21" i="6" s="1"/>
  <c r="R8" i="1" s="1"/>
  <c r="H25" i="6"/>
  <c r="R25" i="6" s="1"/>
  <c r="R12" i="1" s="1"/>
  <c r="C25" i="11"/>
  <c r="C26" i="68"/>
  <c r="D22" i="68" s="1"/>
  <c r="C44" i="11"/>
  <c r="D41" i="11" s="1"/>
  <c r="C44" i="69"/>
  <c r="D41" i="69" s="1"/>
  <c r="C26" i="11"/>
  <c r="D22" i="11" s="1"/>
  <c r="C24" i="11"/>
  <c r="C23"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P19" i="67" l="1"/>
  <c r="C10" i="67"/>
  <c r="C5" i="67" s="1"/>
  <c r="C38" i="67" s="1"/>
  <c r="C8" i="69"/>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15"/>
  <c r="F35" i="15"/>
  <c r="F35" i="67"/>
  <c r="M21" i="67"/>
  <c r="C25" i="68" l="1"/>
  <c r="C22" i="68" s="1"/>
  <c r="C31" i="68" s="1"/>
  <c r="C27" i="12"/>
  <c r="C25"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52" i="68" l="1"/>
  <c r="B2" i="68" s="1"/>
  <c r="B3" i="68" s="1"/>
  <c r="C102" i="9"/>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57" i="68" l="1"/>
  <c r="C56" i="68"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19" i="9"/>
  <c r="L51" i="15"/>
  <c r="D2" i="3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12" i="1"/>
  <c r="AO6" i="1"/>
  <c r="D20" i="9"/>
  <c r="AO7" i="1"/>
  <c r="AO8" i="1"/>
  <c r="D103" i="9" l="1"/>
  <c r="G20" i="9"/>
  <c r="G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c r="C78" i="9"/>
  <c r="E97" i="9"/>
  <c r="E96" i="9"/>
  <c r="C96" i="9"/>
  <c r="M54" i="9"/>
  <c r="D56" i="9"/>
  <c r="D58" i="9"/>
  <c r="C85" i="9"/>
  <c r="C95" i="9"/>
  <c r="C97" i="9"/>
  <c r="B51" i="72"/>
  <c r="F4" i="52"/>
  <c r="M55" i="9"/>
  <c r="D59" i="9"/>
  <c r="B49" i="72"/>
  <c r="D5" i="52"/>
  <c r="D119" i="9"/>
  <c r="B21" i="72"/>
  <c r="D7" i="53"/>
  <c r="C86" i="9"/>
  <c r="C93" i="9"/>
  <c r="B31" i="72"/>
  <c r="D15" i="53"/>
  <c r="B22" i="72"/>
  <c r="D6" i="53"/>
  <c r="E81" i="9"/>
  <c r="E80" i="9"/>
  <c r="C80" i="9"/>
  <c r="H5" i="52"/>
  <c r="H119" i="9"/>
  <c r="B48" i="72"/>
  <c r="E4" i="52"/>
  <c r="F119" i="9"/>
  <c r="F5" i="52"/>
  <c r="B53" i="72"/>
  <c r="B30" i="72"/>
  <c r="D5" i="53"/>
  <c r="B20" i="72"/>
  <c r="D8" i="52"/>
  <c r="H4" i="52"/>
  <c r="C104" i="9"/>
  <c r="N61" i="9"/>
  <c r="N59" i="9"/>
  <c r="N60" i="9"/>
  <c r="D54" i="9"/>
  <c r="C64" i="9"/>
  <c r="C63" i="9"/>
  <c r="C67" i="9"/>
  <c r="C68" i="9"/>
  <c r="D13" i="53"/>
  <c r="D14" i="53"/>
  <c r="B32" i="72"/>
  <c r="D122" i="9"/>
  <c r="D123" i="9"/>
  <c r="D9" i="52"/>
  <c r="F118" i="9"/>
  <c r="G118" i="9"/>
  <c r="G4" i="52"/>
  <c r="B52" i="72"/>
  <c r="E118" i="9"/>
  <c r="D118" i="9"/>
  <c r="D4" i="52"/>
  <c r="B47" i="72"/>
  <c r="M48" i="9"/>
  <c r="C72" i="9"/>
  <c r="C79" i="9"/>
  <c r="C81" i="9"/>
  <c r="I4" i="52"/>
  <c r="C105" i="9"/>
  <c r="P57" i="9"/>
  <c r="D55" i="9"/>
  <c r="M53" i="9"/>
  <c r="N57" i="9"/>
  <c r="N58" i="9"/>
  <c r="H102" i="9"/>
  <c r="C5" i="74"/>
  <c r="D52" i="9"/>
  <c r="D45" i="9"/>
  <c r="D53"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<sst xmlns="http://schemas.openxmlformats.org/spreadsheetml/2006/main" count="7868" uniqueCount="3442">
  <si>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</si>
  <si>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</si>
  <si>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</si>
  <si>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</si>
  <si>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</si>
  <si>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</si>
  <si>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</si>
  <si>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</si>
  <si>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</si>
  <si>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</si>
  <si>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</si>
  <si>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</si>
  <si>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</si>
  <si>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</si>
  <si>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</si>
  <si>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</si>
  <si>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</si>
  <si>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</si>
  <si>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</si>
  <si>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</si>
  <si>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</si>
  <si>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</si>
  <si>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</si>
  <si>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</si>
  <si>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</si>
  <si>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</si>
  <si>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</si>
  <si>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</si>
  <si>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</si>
  <si>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</si>
  <si>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</si>
  <si>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</si>
  <si>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</si>
  <si>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</si>
  <si>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</si>
  <si>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</si>
  <si>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</si>
  <si>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</si>
  <si>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</si>
  <si>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</si>
  <si>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</si>
  <si>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</si>
  <si>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</si>
  <si>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</si>
  <si>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</si>
  <si>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</si>
  <si>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</si>
  <si>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</si>
  <si>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</si>
  <si>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</si>
  <si>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</si>
  <si>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</si>
  <si>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</si>
  <si>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</si>
  <si>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</si>
  <si>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</si>
  <si>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</si>
  <si>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</si>
  <si>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</si>
  <si>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</si>
  <si>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</si>
  <si>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</si>
  <si>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</si>
  <si>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</si>
  <si>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</si>
  <si>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</si>
  <si>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</si>
  <si>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</si>
  <si>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</si>
  <si>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</si>
  <si>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</si>
  <si>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</si>
  <si>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</si>
  <si>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</si>
  <si>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</si>
  <si>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</si>
  <si>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</si>
  <si>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</si>
  <si>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</si>
  <si>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</si>
  <si>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</si>
  <si>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</si>
  <si>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</si>
  <si>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</si>
  <si>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</si>
  <si>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</si>
  <si>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</si>
  <si>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</si>
  <si>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</si>
  <si>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</si>
  <si>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</si>
  <si>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</si>
  <si>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</si>
  <si>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</si>
  <si>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</si>
  <si>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</si>
  <si>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</si>
  <si>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</si>
  <si>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</si>
  <si>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</si>
  <si>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</si>
  <si>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</si>
  <si>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</si>
  <si>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</si>
  <si>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</si>
  <si>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</si>
  <si>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</si>
  <si>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</si>
  <si>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</si>
  <si>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</si>
  <si>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</si>
  <si>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</si>
  <si>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</si>
  <si>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</si>
  <si>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</si>
  <si>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</si>
  <si>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</si>
  <si>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</si>
  <si>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</si>
  <si>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</si>
  <si>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</si>
  <si>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</si>
  <si>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</si>
  <si>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</si>
  <si>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</si>
  <si>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</si>
  <si>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</si>
  <si>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</si>
  <si>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</si>
  <si>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</si>
  <si>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</si>
  <si>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</si>
  <si>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</si>
  <si>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</si>
  <si>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</si>
  <si>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</si>
  <si>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</si>
  <si>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</si>
  <si>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</si>
  <si>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</si>
  <si>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</si>
  <si>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</si>
  <si>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</si>
  <si>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</si>
  <si>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</si>
  <si>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</si>
  <si>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</si>
  <si>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</si>
  <si>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</si>
  <si>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</si>
  <si>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</si>
  <si>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</si>
  <si>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</si>
  <si>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</si>
  <si>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</si>
  <si>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</si>
  <si>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</si>
  <si>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</si>
  <si>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</si>
  <si>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</si>
  <si>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</si>
  <si>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</si>
  <si>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</si>
  <si>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</si>
  <si>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</si>
  <si>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</si>
  <si>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</si>
  <si>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</si>
  <si>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</si>
  <si>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</si>
  <si>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</si>
  <si>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</si>
  <si>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</si>
  <si>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</si>
  <si>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</si>
  <si>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</si>
  <si>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</si>
  <si>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</si>
  <si>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</si>
  <si>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</si>
  <si>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</si>
  <si>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</si>
  <si>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</si>
  <si>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</si>
  <si>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</si>
  <si>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</si>
  <si>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</si>
  <si>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</si>
  <si>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</si>
  <si>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</si>
  <si>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</si>
  <si>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</si>
  <si>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</si>
  <si>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</si>
  <si>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</si>
  <si>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</si>
  <si>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</si>
  <si>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</si>
  <si>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</si>
  <si>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</si>
  <si>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</si>
  <si>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</si>
  <si>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</si>
  <si>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</si>
  <si>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</si>
  <si>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</si>
  <si>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</si>
  <si>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</si>
  <si>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</si>
  <si>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</si>
  <si>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</si>
  <si>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</si>
  <si>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</si>
  <si>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</si>
  <si>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</si>
  <si>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</si>
  <si>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</si>
  <si>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</si>
  <si>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</si>
  <si>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</si>
  <si>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</si>
  <si>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</si>
  <si>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</si>
  <si>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</si>
  <si>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</si>
  <si>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</si>
  <si>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</si>
  <si>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</si>
  <si>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</si>
  <si>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</si>
  <si>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</si>
  <si>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</si>
  <si>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</si>
  <si>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</si>
  <si>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</si>
  <si>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</si>
  <si>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</si>
  <si>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</si>
  <si>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</si>
  <si>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</si>
  <si>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</si>
  <si>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</si>
  <si>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</si>
  <si>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</si>
  <si>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</si>
  <si>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</si>
  <si>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</si>
  <si>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</si>
  <si>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</si>
  <si>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</si>
  <si>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</si>
  <si>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</si>
  <si>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</si>
  <si>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</si>
  <si>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</si>
  <si>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</si>
  <si>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</si>
  <si>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</si>
  <si>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</si>
  <si>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</si>
  <si>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</si>
  <si>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</si>
  <si>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</si>
  <si>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</si>
  <si>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</si>
  <si>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</si>
  <si>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</si>
  <si>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</si>
  <si>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</si>
  <si>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</si>
  <si>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</si>
  <si>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</si>
  <si>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</si>
  <si>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</si>
  <si>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</si>
  <si>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</si>
  <si>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</si>
  <si>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</si>
  <si>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</si>
  <si>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</si>
  <si>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</si>
  <si>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</si>
  <si>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</si>
  <si>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</si>
  <si>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</si>
  <si>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</si>
  <si>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</si>
  <si>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</si>
  <si>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</si>
  <si>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</si>
  <si>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</si>
  <si>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</si>
  <si>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</si>
  <si>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</si>
  <si>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</si>
  <si>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</si>
  <si>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</si>
  <si>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</si>
  <si>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</si>
  <si>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</si>
  <si>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</si>
  <si>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</si>
  <si>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</si>
  <si>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</si>
  <si>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</si>
  <si>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</si>
  <si>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</si>
  <si>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</si>
  <si>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</si>
  <si>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</si>
  <si>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</si>
  <si>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</si>
  <si>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</si>
  <si>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</si>
  <si>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</si>
  <si>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</si>
  <si>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</si>
  <si>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</si>
  <si>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</si>
  <si>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</si>
  <si>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</si>
  <si>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</si>
  <si>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</si>
  <si>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</si>
  <si>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</si>
  <si>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</si>
  <si>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</si>
  <si>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</si>
  <si>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</si>
  <si>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</si>
  <si>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</si>
  <si>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</si>
  <si>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</si>
  <si>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</si>
  <si>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</si>
  <si>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</si>
  <si>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</si>
  <si>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</si>
  <si>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</si>
  <si>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</si>
  <si>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</si>
  <si>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</si>
  <si>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</si>
  <si>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</si>
  <si>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</si>
  <si>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</si>
  <si>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</si>
  <si>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</si>
  <si>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</si>
  <si>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</si>
  <si>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</si>
  <si>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</si>
  <si>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</si>
  <si>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</si>
  <si>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</si>
  <si>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</si>
  <si>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</si>
  <si>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</si>
  <si>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</si>
  <si>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</si>
  <si>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</si>
  <si>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</si>
  <si>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</si>
  <si>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</si>
  <si>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</si>
  <si>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</si>
  <si>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</si>
  <si>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</si>
  <si>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</si>
  <si>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</si>
  <si>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</si>
  <si>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</si>
  <si>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</si>
  <si>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</si>
  <si>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</si>
  <si>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</si>
  <si>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</si>
  <si>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</si>
  <si>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</si>
  <si>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</si>
  <si>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</si>
  <si>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</si>
  <si>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</si>
  <si>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</si>
  <si>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</si>
  <si>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</si>
  <si>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</si>
  <si>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</si>
  <si>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</si>
  <si>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</si>
  <si>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</si>
  <si>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</si>
  <si>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</si>
  <si>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</si>
  <si>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</si>
  <si>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</si>
  <si>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</si>
  <si>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</si>
  <si>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</si>
  <si>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</si>
  <si>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</si>
  <si>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</si>
  <si>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</si>
  <si>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</si>
  <si>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</si>
  <si>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</si>
  <si>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</si>
  <si>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</si>
  <si>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</si>
  <si>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</si>
  <si>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</si>
  <si>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</si>
  <si>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</si>
  <si>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</si>
  <si>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</si>
  <si>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</si>
  <si>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</si>
  <si>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</si>
  <si>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</si>
  <si>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</si>
  <si>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</si>
  <si>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</si>
  <si>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</si>
  <si>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</si>
  <si>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</si>
  <si>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</si>
  <si>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</si>
  <si>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</si>
  <si>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</si>
  <si>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</si>
  <si>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</si>
  <si>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</si>
  <si>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</si>
  <si>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</si>
  <si>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</si>
  <si>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</si>
  <si>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</si>
  <si>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</si>
  <si>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</si>
  <si>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</si>
  <si>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</si>
  <si>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</si>
  <si>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</si>
  <si>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</si>
  <si>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</si>
  <si>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</si>
  <si>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</si>
  <si>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</si>
  <si>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</si>
  <si>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</si>
  <si>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</si>
  <si>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</si>
  <si>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</si>
  <si>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</si>
  <si>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</si>
  <si>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</si>
  <si>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</si>
  <si>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</si>
  <si>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</si>
  <si>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</si>
  <si>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</si>
  <si>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</si>
  <si>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</si>
  <si>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</si>
  <si>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</si>
  <si>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</si>
  <si>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</si>
  <si>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</si>
  <si>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</si>
  <si>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</si>
  <si>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</si>
  <si>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</si>
  <si>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</si>
  <si>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</si>
  <si>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</si>
  <si>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</si>
  <si>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</si>
  <si>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</si>
  <si>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</si>
  <si>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</si>
  <si>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</si>
  <si>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</si>
  <si>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</si>
  <si>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</si>
  <si>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</si>
  <si>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</si>
  <si>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</si>
  <si>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</si>
  <si>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</si>
  <si>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</si>
  <si>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</si>
  <si>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</si>
  <si>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</si>
  <si>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</si>
  <si>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</si>
  <si>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</si>
  <si>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</si>
  <si>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</si>
  <si>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</si>
  <si>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</si>
  <si>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</si>
  <si>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</si>
  <si>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</si>
  <si>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</si>
  <si>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</si>
  <si>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</si>
  <si>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</si>
  <si>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</si>
  <si>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</si>
  <si>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</si>
  <si>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</si>
  <si>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</si>
  <si>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</si>
  <si>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</si>
  <si>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</si>
  <si>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</si>
  <si>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</si>
  <si>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</si>
  <si>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</si>
  <si>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</si>
  <si>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</si>
  <si>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</si>
  <si>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</si>
  <si>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</si>
  <si>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</si>
  <si>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</si>
  <si>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</si>
  <si>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</si>
  <si>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</si>
  <si>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</si>
  <si>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</si>
  <si>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</si>
  <si>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</si>
  <si>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</si>
  <si>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</si>
  <si>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</si>
  <si>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</si>
  <si>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</si>
  <si>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</si>
  <si>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</si>
  <si>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</si>
  <si>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</si>
  <si>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</si>
  <si>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</si>
  <si>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</si>
  <si>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</si>
  <si>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</si>
  <si>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</si>
  <si>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</si>
  <si>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</si>
  <si>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</si>
  <si>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</si>
  <si>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</si>
  <si>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</si>
  <si>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</si>
  <si>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</si>
  <si>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</si>
  <si>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</si>
  <si>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</si>
  <si>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</si>
  <si>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</si>
  <si>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</si>
  <si>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</si>
  <si>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</si>
  <si>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</si>
  <si>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</si>
  <si>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</si>
  <si>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</si>
  <si>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</si>
  <si>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</si>
  <si>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</si>
  <si>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</si>
  <si>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</si>
  <si>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</si>
  <si>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</si>
  <si>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</si>
  <si>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</si>
  <si>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</si>
  <si>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</si>
  <si>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</si>
  <si>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</si>
  <si>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</si>
  <si>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</si>
  <si>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</si>
  <si>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</si>
  <si>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</si>
  <si>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</si>
  <si>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</si>
  <si>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</si>
  <si>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</si>
  <si>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</si>
  <si>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</si>
  <si>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</si>
  <si>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</si>
  <si>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</si>
  <si>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</si>
  <si>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</si>
  <si>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</si>
  <si>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</si>
  <si>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</si>
  <si>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</si>
  <si>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</si>
  <si>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</si>
  <si>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</si>
  <si>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</si>
  <si>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</si>
  <si>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</si>
  <si>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</si>
  <si>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</si>
  <si>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</si>
  <si>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</si>
  <si>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</si>
  <si>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</si>
  <si>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</si>
  <si>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</si>
  <si>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</si>
  <si>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</si>
  <si>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</si>
  <si>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</si>
  <si>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</si>
  <si>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</si>
  <si>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</si>
  <si>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</si>
  <si>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</si>
  <si>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</si>
  <si>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</si>
  <si>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</si>
  <si>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</si>
  <si>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</si>
  <si>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</si>
  <si>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</si>
  <si>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</si>
  <si>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</si>
  <si>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</si>
  <si>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</si>
  <si>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</si>
  <si>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</si>
  <si>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</si>
  <si>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</si>
  <si>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</si>
  <si>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</si>
  <si>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</si>
  <si>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</si>
  <si>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</si>
  <si>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</si>
  <si>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</si>
  <si>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</si>
  <si>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</si>
  <si>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</si>
  <si>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</si>
  <si>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</si>
  <si>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</si>
  <si>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</si>
  <si>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</si>
  <si>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</si>
  <si>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</si>
  <si>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</si>
  <si>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</si>
  <si>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</si>
  <si>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</si>
  <si>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</si>
  <si>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</si>
  <si>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</si>
  <si>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</si>
  <si>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</si>
  <si>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</si>
  <si>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</si>
  <si>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</si>
  <si>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</si>
  <si>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</si>
  <si>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</si>
  <si>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</si>
  <si>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</si>
  <si>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</si>
  <si>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</si>
  <si>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</si>
  <si>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</si>
  <si>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</si>
  <si>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</si>
  <si>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</si>
  <si>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</si>
  <si>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</si>
  <si>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</si>
  <si>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</si>
  <si>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</si>
  <si>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</si>
  <si>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</si>
  <si>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</si>
  <si>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</si>
  <si>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</si>
  <si>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</si>
  <si>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</si>
  <si>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</si>
  <si>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</si>
  <si>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</si>
  <si>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</si>
  <si>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</si>
  <si>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</si>
  <si>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</si>
  <si>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</si>
  <si>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</si>
  <si>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</si>
  <si>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</si>
  <si>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</si>
  <si>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</si>
  <si>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</si>
  <si>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</si>
  <si>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</si>
  <si>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</si>
  <si>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</si>
  <si>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</si>
  <si>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</si>
  <si>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</si>
  <si>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</si>
  <si>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</si>
  <si>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</si>
  <si>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</si>
  <si>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</si>
  <si>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</si>
  <si>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</si>
  <si>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</si>
  <si>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</si>
  <si>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</si>
  <si>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</si>
  <si>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</si>
  <si>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</si>
  <si>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</si>
  <si>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</si>
  <si>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</si>
  <si>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</si>
  <si>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</si>
  <si>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</si>
  <si>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</si>
  <si>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</si>
  <si>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</si>
  <si>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</si>
  <si>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</si>
  <si>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</si>
  <si>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</si>
  <si>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</si>
  <si>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</si>
  <si>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</si>
  <si>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</si>
  <si>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</si>
  <si>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</si>
  <si>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</si>
  <si>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</si>
  <si>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</si>
  <si>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</si>
  <si>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</si>
  <si>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</si>
  <si>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</si>
  <si>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</si>
  <si>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</si>
  <si>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</si>
  <si>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</si>
  <si>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</si>
  <si>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</si>
  <si>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</si>
  <si>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</si>
  <si>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</si>
  <si>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</si>
  <si>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</si>
  <si>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</si>
  <si>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</si>
  <si>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</si>
  <si>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</si>
  <si>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</si>
  <si>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</si>
  <si>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</si>
  <si>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</si>
  <si>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</si>
  <si>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</si>
  <si>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</si>
  <si>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</si>
  <si>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</si>
  <si>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</si>
  <si>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</si>
  <si>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</si>
  <si>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</si>
  <si>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</si>
  <si>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</si>
  <si>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</si>
  <si>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</si>
  <si>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</si>
  <si>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</si>
  <si>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</si>
  <si>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</si>
  <si>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</si>
  <si>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</si>
  <si>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</si>
  <si>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</si>
  <si>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</si>
  <si>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</si>
  <si>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</si>
  <si>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</si>
  <si>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</si>
  <si>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</si>
  <si>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</si>
  <si>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</si>
  <si>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</si>
  <si>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</si>
  <si>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</si>
  <si>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</si>
  <si>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</si>
  <si>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</si>
  <si>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</si>
  <si>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</si>
  <si>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</si>
  <si>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</si>
  <si>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</si>
  <si>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</si>
  <si>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</si>
  <si>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</si>
  <si>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</si>
  <si>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</si>
  <si>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</si>
  <si>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</si>
  <si>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</si>
  <si>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</si>
  <si>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</si>
  <si>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</si>
  <si>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</si>
  <si>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</si>
  <si>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</si>
  <si>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</si>
  <si>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</si>
  <si>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</si>
  <si>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</si>
  <si>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</si>
  <si>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</si>
  <si>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</si>
  <si>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</si>
  <si>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</si>
  <si>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</si>
  <si>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</si>
  <si>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</si>
  <si>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</si>
  <si>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</si>
  <si>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</si>
  <si>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</si>
  <si>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</si>
  <si>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</si>
  <si>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</si>
  <si>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</si>
  <si>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</si>
  <si>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</si>
  <si>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</si>
  <si>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</si>
  <si>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</si>
  <si>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</si>
  <si>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</si>
  <si>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</si>
  <si>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</si>
  <si>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</si>
  <si>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</si>
  <si>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</si>
  <si>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</si>
  <si>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</si>
  <si>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</si>
  <si>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</si>
  <si>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</si>
  <si>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</si>
  <si>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</si>
  <si>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</si>
  <si>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</si>
  <si>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</si>
  <si>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</si>
  <si>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</si>
  <si>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</si>
  <si>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</si>
  <si>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</si>
  <si>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</si>
  <si>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</si>
  <si>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</si>
  <si>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</si>
  <si>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</si>
  <si>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</si>
  <si>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</si>
  <si>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</si>
  <si>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</si>
  <si>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</si>
  <si>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</si>
  <si>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</si>
  <si>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</si>
  <si>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</si>
  <si>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</si>
  <si>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</si>
  <si>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</si>
  <si>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</si>
  <si>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</si>
  <si>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</si>
  <si>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</si>
  <si>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</si>
  <si>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</si>
  <si>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</si>
  <si>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</si>
  <si>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</si>
  <si>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</si>
  <si>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</si>
  <si>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</si>
  <si>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</si>
  <si>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</si>
  <si>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</si>
  <si>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</si>
  <si>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</si>
  <si>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</si>
  <si>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</si>
  <si>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</si>
  <si>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</si>
  <si>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</si>
  <si>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</si>
  <si>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</si>
  <si>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</si>
  <si>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</si>
  <si>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</si>
  <si>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</si>
  <si>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</si>
  <si>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</si>
  <si>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</si>
  <si>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</si>
  <si>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</si>
  <si>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</si>
  <si>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</si>
  <si>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</si>
  <si>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</si>
  <si>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</si>
  <si>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</si>
  <si>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</si>
  <si>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</si>
  <si>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</si>
  <si>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</si>
  <si>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</si>
  <si>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</si>
  <si>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</si>
  <si>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</si>
  <si>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</si>
  <si>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</si>
  <si>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</si>
  <si>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</si>
  <si>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</si>
  <si>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</si>
  <si>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</si>
  <si>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</si>
  <si>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</si>
  <si>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</si>
  <si>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</si>
  <si>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</si>
  <si>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</si>
  <si>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</si>
  <si>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</si>
  <si>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</si>
  <si>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</si>
  <si>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</si>
  <si>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</si>
  <si>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</si>
  <si>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</si>
  <si>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</si>
  <si>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</si>
  <si>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</si>
  <si>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</si>
  <si>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</si>
  <si>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</si>
  <si>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</si>
  <si>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</si>
  <si>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</si>
  <si>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</si>
  <si>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</si>
  <si>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</si>
  <si>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</si>
  <si>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</si>
  <si>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</si>
  <si>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</si>
  <si>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</si>
  <si>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</si>
  <si>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</si>
  <si>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</si>
  <si>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</si>
  <si>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</si>
  <si>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</si>
  <si>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</si>
  <si>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</si>
  <si>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</si>
  <si>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</si>
  <si>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</si>
  <si>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</si>
  <si>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</si>
  <si>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</si>
  <si>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</si>
  <si>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</si>
  <si>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</si>
  <si>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</si>
  <si>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</si>
  <si>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</si>
  <si>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</si>
  <si>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</si>
  <si>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</si>
  <si>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</si>
  <si>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</si>
  <si>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</si>
  <si>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</si>
  <si>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</si>
  <si>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</si>
  <si>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</si>
  <si>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</si>
  <si>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</si>
  <si>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</si>
  <si>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</si>
  <si>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</si>
  <si>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</si>
  <si>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</si>
  <si>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</si>
  <si>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</si>
  <si>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</si>
  <si>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</si>
  <si>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</si>
  <si>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</si>
  <si>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</si>
  <si>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</si>
  <si>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</si>
  <si>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</si>
  <si>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</si>
  <si>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</si>
  <si>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</si>
  <si>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</si>
  <si>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</si>
  <si>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</si>
  <si>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</si>
  <si>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</si>
  <si>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</si>
  <si>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</si>
  <si>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</si>
  <si>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</si>
  <si>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</si>
  <si>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</si>
  <si>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</si>
  <si>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</si>
  <si>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</si>
  <si>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</si>
  <si>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</si>
  <si>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</si>
  <si>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</si>
  <si>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</si>
  <si>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</si>
  <si>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</si>
  <si>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</si>
  <si>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</si>
  <si>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</si>
  <si>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</si>
  <si>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</si>
  <si>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</si>
  <si>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</si>
  <si>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</si>
  <si>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</si>
  <si>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</si>
  <si>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</si>
  <si>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</si>
  <si>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</si>
  <si>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</si>
  <si>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</si>
  <si>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</si>
  <si>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</si>
  <si>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</si>
  <si>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</si>
  <si>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</si>
  <si>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</si>
  <si>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</si>
  <si>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</si>
  <si>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</si>
  <si>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</si>
  <si>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</si>
  <si>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</si>
  <si>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</si>
  <si>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</si>
  <si>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</si>
  <si>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</si>
  <si>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</si>
  <si>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</si>
  <si>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</si>
  <si>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</si>
  <si>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</si>
  <si>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</si>
  <si>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</si>
  <si>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</si>
  <si>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</si>
  <si>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</si>
  <si>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</si>
  <si>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</si>
  <si>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</si>
  <si>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</si>
  <si>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</si>
  <si>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</si>
  <si>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</si>
  <si>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</si>
  <si>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</si>
  <si>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</si>
  <si>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</si>
  <si>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</si>
  <si>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</si>
  <si>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</si>
  <si>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</si>
  <si>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</si>
  <si>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</si>
  <si>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</si>
  <si>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</si>
  <si>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</si>
  <si>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</si>
  <si>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</si>
  <si>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</si>
  <si>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</si>
  <si>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</si>
  <si>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</si>
  <si>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</si>
  <si>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</si>
  <si>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</si>
  <si>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</si>
  <si>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</si>
  <si>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</si>
  <si>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</si>
  <si>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</si>
  <si>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</si>
  <si>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</si>
  <si>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</si>
  <si>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</si>
  <si>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</si>
  <si>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</si>
  <si>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</si>
  <si>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</si>
  <si>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</si>
  <si>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</si>
  <si>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</si>
  <si>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</si>
  <si>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</si>
  <si>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</si>
  <si>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</si>
  <si>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</si>
  <si>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</si>
  <si>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</si>
  <si>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</si>
  <si>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</si>
  <si>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</si>
  <si>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</si>
  <si>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</si>
  <si>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</si>
  <si>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</si>
  <si>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</si>
  <si>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</si>
  <si>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</si>
  <si>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</si>
  <si>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</si>
  <si>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</si>
  <si>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</si>
  <si>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</si>
  <si>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</si>
  <si>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</si>
  <si>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</si>
  <si>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</si>
  <si>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</si>
  <si>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</si>
  <si>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</si>
  <si>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</si>
  <si>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</si>
  <si>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</si>
  <si>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</si>
  <si>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</si>
  <si>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</si>
  <si>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</si>
  <si>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</si>
  <si>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</si>
  <si>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</si>
  <si>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</si>
  <si>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</si>
  <si>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</si>
  <si>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</si>
  <si>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</si>
  <si>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</si>
  <si>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</si>
  <si>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</si>
  <si>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</si>
  <si>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</si>
  <si>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</si>
  <si>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</si>
  <si>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</si>
  <si>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</si>
  <si>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</si>
  <si>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</si>
  <si>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</si>
  <si>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</si>
  <si>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</si>
  <si>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</si>
  <si>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</si>
  <si>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</si>
  <si>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</si>
  <si>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</si>
  <si>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</si>
  <si>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</si>
  <si>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</si>
  <si>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</si>
  <si>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</si>
  <si>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</si>
  <si>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</si>
  <si>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</si>
  <si>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</si>
  <si>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</si>
  <si>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</si>
  <si>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</si>
  <si>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</si>
  <si>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</si>
  <si>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</si>
  <si>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</si>
  <si>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</si>
  <si>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</si>
  <si>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</si>
  <si>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</si>
  <si>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</si>
  <si>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</si>
  <si>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</si>
  <si>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</si>
  <si>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</si>
  <si>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</si>
  <si>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</si>
  <si>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</si>
  <si>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</si>
  <si>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</si>
  <si>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</si>
  <si>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</si>
  <si>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</si>
  <si>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</si>
  <si>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</si>
  <si>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</si>
  <si>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</si>
  <si>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</si>
  <si>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</si>
  <si>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</si>
  <si>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</si>
  <si>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</si>
  <si>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</si>
  <si>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</si>
  <si>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</si>
  <si>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</si>
  <si>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</si>
  <si>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</si>
  <si>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</si>
  <si>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</si>
  <si>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</si>
  <si>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</si>
  <si>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</si>
  <si>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</si>
  <si>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</si>
  <si>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</si>
  <si>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</si>
  <si>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</si>
  <si>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</si>
  <si>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</si>
  <si>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</si>
  <si>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</si>
  <si>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</si>
  <si>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</si>
  <si>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</si>
  <si>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</si>
  <si>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</si>
  <si>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</si>
  <si>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</si>
  <si>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</si>
  <si>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</si>
  <si>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</si>
  <si>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</si>
  <si>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</si>
  <si>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</si>
  <si>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</si>
  <si>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</si>
  <si>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</si>
  <si>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</si>
  <si>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</si>
  <si>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</si>
  <si>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</si>
  <si>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</si>
  <si>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</si>
  <si>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</si>
  <si>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</si>
  <si>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</si>
  <si>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</si>
  <si>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</si>
  <si>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</si>
  <si>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</si>
  <si>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</si>
  <si>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</si>
  <si>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</si>
  <si>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</si>
  <si>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</si>
  <si>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</si>
  <si>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</si>
  <si>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</si>
  <si>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</si>
  <si>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</si>
  <si>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</si>
  <si>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</si>
  <si>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</si>
  <si>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</si>
  <si>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</si>
  <si>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</si>
  <si>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</si>
  <si>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</si>
  <si>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</si>
  <si>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</si>
  <si>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</si>
  <si>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</si>
  <si>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</si>
  <si>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</si>
  <si>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</si>
  <si>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</si>
  <si>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</si>
  <si>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</si>
  <si>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</si>
  <si>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</si>
  <si>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</si>
  <si>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</si>
  <si>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</si>
  <si>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</si>
  <si>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</si>
  <si>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</si>
  <si>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</si>
  <si>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</si>
  <si>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</si>
  <si>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</si>
  <si>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</si>
  <si>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</si>
  <si>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</si>
  <si>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</si>
  <si>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</si>
  <si>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</si>
  <si>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</si>
  <si>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</si>
  <si>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</si>
  <si>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</si>
  <si>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</si>
  <si>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</si>
  <si>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</si>
  <si>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</si>
  <si>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</si>
  <si>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</si>
  <si>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</si>
  <si>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</si>
  <si>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</si>
  <si>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</si>
  <si>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</si>
  <si>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</si>
  <si>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</si>
  <si>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</si>
  <si>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</si>
  <si>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</si>
  <si>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</si>
  <si>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</si>
  <si>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</si>
  <si>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</si>
  <si>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</si>
  <si>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</si>
  <si>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</si>
  <si>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</si>
  <si>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</si>
  <si>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</si>
  <si>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</si>
  <si>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</si>
  <si>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</si>
  <si>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</si>
  <si>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</si>
  <si>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</si>
  <si>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</si>
  <si>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</si>
  <si>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</si>
  <si>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</si>
  <si>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</si>
  <si>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</si>
  <si>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</si>
  <si>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</si>
  <si>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</si>
  <si>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</si>
  <si>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</si>
  <si>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</si>
  <si>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</si>
  <si>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</si>
  <si>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</si>
  <si>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</si>
  <si>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</si>
  <si>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</si>
  <si>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</si>
  <si>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</si>
  <si>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</si>
  <si>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</si>
  <si>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</si>
  <si>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</si>
  <si>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</si>
  <si>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</si>
  <si>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</si>
  <si>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</si>
  <si>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</si>
  <si>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</si>
  <si>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</si>
  <si>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</si>
  <si>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</si>
  <si>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</si>
  <si>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</si>
  <si>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</si>
  <si>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</si>
  <si>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</si>
  <si>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</si>
  <si>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</si>
  <si>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</si>
  <si>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</si>
  <si>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</si>
  <si>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</si>
  <si>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</si>
  <si>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</si>
  <si>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</si>
  <si>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</si>
  <si>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</si>
  <si>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</si>
  <si>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</si>
  <si>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</si>
  <si>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</si>
  <si>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</si>
  <si>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</si>
  <si>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</si>
  <si>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</si>
  <si>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</si>
  <si>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</si>
  <si>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</si>
  <si>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</si>
  <si>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</si>
  <si>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</si>
  <si>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</si>
  <si>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</si>
  <si>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</si>
  <si>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</si>
  <si>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</si>
  <si>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</si>
  <si>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</si>
  <si>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</si>
  <si>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</si>
  <si>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</si>
  <si>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</si>
  <si>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</si>
  <si>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</si>
  <si>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</si>
  <si>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</si>
  <si>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</si>
  <si>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</si>
  <si>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</si>
  <si>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</si>
  <si>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</si>
  <si>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</si>
  <si>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</si>
  <si>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</si>
  <si>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</si>
  <si>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</si>
  <si>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</si>
  <si>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</si>
  <si>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</si>
  <si>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</si>
  <si>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</si>
  <si>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</si>
  <si>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</si>
  <si>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</si>
  <si>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</si>
  <si>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</si>
  <si>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</si>
  <si>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</si>
  <si>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</si>
  <si>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</si>
  <si>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</si>
  <si>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</si>
  <si>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</si>
  <si>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</si>
  <si>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</si>
  <si>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</si>
  <si>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</si>
  <si>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</si>
  <si>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</si>
  <si>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</si>
  <si>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</si>
  <si>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</si>
  <si>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</si>
  <si>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</si>
  <si>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</si>
  <si>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</si>
  <si>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</si>
  <si>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</si>
  <si>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</si>
  <si>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</si>
  <si>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</si>
  <si>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</si>
  <si>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</si>
  <si>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</si>
  <si>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</si>
  <si>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</si>
  <si>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</si>
  <si>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</si>
  <si>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</si>
  <si>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</si>
  <si>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</si>
  <si>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</si>
  <si>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</si>
  <si>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</si>
  <si>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</si>
  <si>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</si>
  <si>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</si>
  <si>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</si>
  <si>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</si>
  <si>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</si>
  <si>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</si>
  <si>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</si>
  <si>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</si>
  <si>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</si>
  <si>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</si>
  <si>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</si>
  <si>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</si>
  <si>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</si>
  <si>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</si>
  <si>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</si>
  <si>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</si>
  <si>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</si>
  <si>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</si>
  <si>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</si>
  <si>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</si>
  <si>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</si>
  <si>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</si>
  <si>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</si>
  <si>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</si>
  <si>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</si>
  <si>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</si>
  <si>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</si>
  <si>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</si>
  <si>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</si>
  <si>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</si>
  <si>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</si>
  <si>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</si>
  <si>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</si>
  <si>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</si>
  <si>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</si>
  <si>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</si>
  <si>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</si>
  <si>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</si>
  <si>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</si>
  <si>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</si>
  <si>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</si>
  <si>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</si>
  <si>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</si>
  <si>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</si>
  <si>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</si>
  <si>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</si>
  <si>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</si>
  <si>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</si>
  <si>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</si>
  <si>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</si>
  <si>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</si>
  <si>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</si>
  <si>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</si>
  <si>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</si>
  <si>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</si>
  <si>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</si>
  <si>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</si>
  <si>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</si>
  <si>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</si>
  <si>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</si>
  <si>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</si>
  <si>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</si>
  <si>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</si>
  <si>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</si>
  <si>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</si>
  <si>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</si>
  <si>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</si>
  <si>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</si>
  <si>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</si>
  <si>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</si>
  <si>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</si>
  <si>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</si>
  <si>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</si>
  <si>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</si>
  <si>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</si>
  <si>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</si>
  <si>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</si>
  <si>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</si>
  <si>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</si>
  <si>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</si>
  <si>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</si>
  <si>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</si>
  <si>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</si>
  <si>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</si>
  <si>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</si>
  <si>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</si>
  <si>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</si>
  <si>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</si>
  <si>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</si>
  <si>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</si>
  <si>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</si>
  <si>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</si>
  <si>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</si>
  <si>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</si>
  <si>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</si>
  <si>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</si>
  <si>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</si>
  <si>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</si>
  <si>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</si>
  <si>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</si>
  <si>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</si>
  <si>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</si>
  <si>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</si>
  <si>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</si>
  <si>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</si>
  <si>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</si>
  <si>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</si>
  <si>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</si>
  <si>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</si>
  <si>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</si>
  <si>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</si>
  <si>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</si>
  <si>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</si>
  <si>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</si>
  <si>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</si>
  <si>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</si>
  <si>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</si>
  <si>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</si>
  <si>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</si>
  <si>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</si>
  <si>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</si>
  <si>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</si>
  <si>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</si>
  <si>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</si>
  <si>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</si>
  <si>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</si>
  <si>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</si>
  <si>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</si>
  <si>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</si>
  <si>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</si>
  <si>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</si>
  <si>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</si>
  <si>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</si>
  <si>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</si>
  <si>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</si>
  <si>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</si>
  <si>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</si>
  <si>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</si>
  <si>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</si>
  <si>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</si>
  <si>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</si>
  <si>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</si>
  <si>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</si>
  <si>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</si>
  <si>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</si>
  <si>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</si>
  <si>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</si>
  <si>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</si>
  <si>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</si>
  <si>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</si>
  <si>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</si>
  <si>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</si>
  <si>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</si>
  <si>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</si>
  <si>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</si>
  <si>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</si>
  <si>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</si>
  <si>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</si>
  <si>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</si>
  <si>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</si>
  <si>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</si>
  <si>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</si>
  <si>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</si>
  <si>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</si>
  <si>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</si>
  <si>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</si>
  <si>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</si>
  <si>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</si>
  <si>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</si>
  <si>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</si>
  <si>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</si>
  <si>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</si>
  <si>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</si>
  <si>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</si>
  <si>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</si>
  <si>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</si>
  <si>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</si>
  <si>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</si>
  <si>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</si>
  <si>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</si>
  <si>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</si>
  <si>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</si>
  <si>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</si>
  <si>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</si>
  <si>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</si>
  <si>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</si>
  <si>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</si>
  <si>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</si>
  <si>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</si>
  <si>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</si>
  <si>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</si>
  <si>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</si>
  <si>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</si>
  <si>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</si>
  <si>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</si>
  <si>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</si>
  <si>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</si>
  <si>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</si>
  <si>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</si>
  <si>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</si>
  <si>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</si>
  <si>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</si>
  <si>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</si>
  <si>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</si>
  <si>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</si>
  <si>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</si>
  <si>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</si>
  <si>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</si>
  <si>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</si>
  <si>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</si>
  <si>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</si>
  <si>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</si>
  <si>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</si>
  <si>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</si>
  <si>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</si>
  <si>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</si>
  <si>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</si>
  <si>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</si>
  <si>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</si>
  <si>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</si>
  <si>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</si>
  <si>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</si>
  <si>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</si>
  <si>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</si>
  <si>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</si>
  <si>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</si>
  <si>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</si>
  <si>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</si>
  <si>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</si>
  <si>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</si>
  <si>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</si>
  <si>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</si>
  <si>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</si>
  <si>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</si>
  <si>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</si>
  <si>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</si>
  <si>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</si>
  <si>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</si>
  <si>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</si>
  <si>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</si>
  <si>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</si>
  <si>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</si>
  <si>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</si>
  <si>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</si>
  <si>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</si>
  <si>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</si>
  <si>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</si>
  <si>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</si>
  <si>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</si>
  <si>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</si>
  <si>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</si>
  <si>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</si>
  <si>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</si>
  <si>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</si>
  <si>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</si>
  <si>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</si>
  <si>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</si>
  <si>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</si>
  <si>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</si>
  <si>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</si>
  <si>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</si>
  <si>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</si>
  <si>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</si>
  <si>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</si>
  <si>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</si>
  <si>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</si>
  <si>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</si>
  <si>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</si>
  <si>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</si>
  <si>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</si>
  <si>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</si>
  <si>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</si>
  <si>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</si>
  <si>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</si>
  <si>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</si>
  <si>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</si>
  <si>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</si>
  <si>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</si>
  <si>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</si>
  <si>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</si>
  <si>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</si>
  <si>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</si>
  <si>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</si>
  <si>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</si>
  <si>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</si>
  <si>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</si>
  <si>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</si>
  <si>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</si>
  <si>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</si>
  <si>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</si>
  <si>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</si>
  <si>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</si>
  <si>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</si>
  <si>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</si>
  <si>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</si>
  <si>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</si>
  <si>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</si>
  <si>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</si>
  <si>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</si>
  <si>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</si>
  <si>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</si>
  <si>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</si>
  <si>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</si>
  <si>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</si>
  <si>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</si>
  <si>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</si>
  <si>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</si>
  <si>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</si>
  <si>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</si>
  <si>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</si>
  <si>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</si>
  <si>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</si>
  <si>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</si>
  <si>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</si>
  <si>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</si>
  <si>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</si>
  <si>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</si>
  <si>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</si>
  <si>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</si>
  <si>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</si>
  <si>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</si>
  <si>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</si>
  <si>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</si>
  <si>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</si>
  <si>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</si>
  <si>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</si>
  <si>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</si>
  <si>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</si>
  <si>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</si>
  <si>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</si>
  <si>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</si>
  <si>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</si>
  <si>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</si>
  <si>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</si>
  <si>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</si>
  <si>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</si>
  <si>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</si>
  <si>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</si>
  <si>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</si>
  <si>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</si>
  <si>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</si>
  <si>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</si>
  <si>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</si>
  <si>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</si>
  <si>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</si>
  <si>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</si>
  <si>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</si>
  <si>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</si>
  <si>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</si>
  <si>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</si>
  <si>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</si>
  <si>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</si>
  <si>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</si>
  <si>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</si>
  <si>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</si>
  <si>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</si>
  <si>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</si>
  <si>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</si>
  <si>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</si>
  <si>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</si>
  <si>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</si>
  <si>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</si>
  <si>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</si>
  <si>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</si>
  <si>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</si>
  <si>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</si>
  <si>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</si>
  <si>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</si>
  <si>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</si>
  <si>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</si>
  <si>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</si>
  <si>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</si>
  <si>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</si>
  <si>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</si>
  <si>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</si>
  <si>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</si>
  <si>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</si>
  <si>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</si>
  <si>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</si>
  <si>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</si>
  <si>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</si>
  <si>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</si>
  <si>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</si>
  <si>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</si>
  <si>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</si>
  <si>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</si>
  <si>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</si>
  <si>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</si>
  <si>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</si>
  <si>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</si>
  <si>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</si>
  <si>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</si>
  <si>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</si>
  <si>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</si>
  <si>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</si>
  <si>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</si>
  <si>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</si>
  <si>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</si>
  <si>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</si>
  <si>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</si>
  <si>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</si>
  <si>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</si>
  <si>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</si>
  <si>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</si>
  <si>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</si>
  <si>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</si>
  <si>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</si>
  <si>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</si>
  <si>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</si>
  <si>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</si>
  <si>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</si>
  <si>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</si>
  <si>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</si>
  <si>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</si>
  <si>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</si>
  <si>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</si>
  <si>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</si>
  <si>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</si>
  <si>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</si>
  <si>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</si>
  <si>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</si>
  <si>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</si>
  <si>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</si>
  <si>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</si>
  <si>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</si>
  <si>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</si>
  <si>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</si>
  <si>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</si>
  <si>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</si>
  <si>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</si>
  <si>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</si>
  <si>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</si>
  <si>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</si>
  <si>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</si>
  <si>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</si>
  <si>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</si>
  <si>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</si>
  <si>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</si>
  <si>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</si>
  <si>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</si>
  <si>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</si>
  <si>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</si>
  <si>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</si>
  <si>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</si>
  <si>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</si>
  <si>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</si>
  <si>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</si>
  <si>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</si>
  <si>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</si>
  <si>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</si>
  <si>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</si>
  <si>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</si>
  <si>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</si>
  <si>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</si>
  <si>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</si>
  <si>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</si>
  <si>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</si>
  <si>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</si>
  <si>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</si>
  <si>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</si>
  <si>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</si>
  <si>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</si>
  <si>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</si>
  <si>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</si>
  <si>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</si>
  <si>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</si>
  <si>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</si>
  <si>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</si>
  <si>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</si>
  <si>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</si>
  <si>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</si>
  <si>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</si>
  <si>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</si>
  <si>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</si>
  <si>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</si>
  <si>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</si>
  <si>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</si>
  <si>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</si>
  <si>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</si>
  <si>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</si>
  <si>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</si>
  <si>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</si>
  <si>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</si>
  <si>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</si>
  <si>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</si>
  <si>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</si>
  <si>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</si>
  <si>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</si>
  <si>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</si>
  <si>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</si>
  <si>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</si>
  <si>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</si>
  <si>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</si>
  <si>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</si>
  <si>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</si>
  <si>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</si>
  <si>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</si>
  <si>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</si>
  <si>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</si>
  <si>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</si>
  <si>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</si>
  <si>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</si>
  <si>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</si>
  <si>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</si>
  <si>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</si>
  <si>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</si>
  <si>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</si>
  <si>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</si>
  <si>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</si>
  <si>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</si>
  <si>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</si>
  <si>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</si>
  <si>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</si>
  <si>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</si>
  <si>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</si>
  <si>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</si>
  <si>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</si>
  <si>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</si>
  <si>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</si>
  <si>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</si>
  <si>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</si>
  <si>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</si>
  <si>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</si>
  <si>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</si>
  <si>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</si>
  <si>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</si>
  <si>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</si>
  <si>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</si>
  <si>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</si>
  <si>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</si>
  <si>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</si>
  <si>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</si>
  <si>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</si>
  <si>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</si>
  <si>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</si>
  <si>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</si>
  <si>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</si>
  <si>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</si>
  <si>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</si>
  <si>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</si>
  <si>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</si>
  <si>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</si>
  <si>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</si>
  <si>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</si>
  <si>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</si>
  <si>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</si>
  <si>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</si>
  <si>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</si>
  <si>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</si>
  <si>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</si>
  <si>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</si>
  <si>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</si>
  <si>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</si>
  <si>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</si>
  <si>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</si>
  <si>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</si>
  <si>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</si>
  <si>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</si>
  <si>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</si>
  <si>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</si>
  <si>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</si>
  <si>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</si>
  <si>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</si>
  <si>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</si>
  <si>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</si>
  <si>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</si>
  <si>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</si>
  <si>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</si>
  <si>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</si>
  <si>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</si>
  <si>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</si>
  <si>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</si>
  <si>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</si>
  <si>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</si>
  <si>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</si>
  <si>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</si>
  <si>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</si>
  <si>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</si>
  <si>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</si>
  <si>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</si>
  <si>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</si>
  <si>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</si>
  <si>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</si>
  <si>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</si>
  <si>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</si>
  <si>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</si>
  <si>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</si>
  <si>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</si>
  <si>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</si>
  <si>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</si>
  <si>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</si>
  <si>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</si>
  <si>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</si>
  <si>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</si>
  <si>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</si>
  <si>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</si>
  <si>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</si>
  <si>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</si>
  <si>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</si>
  <si>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</si>
  <si>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</si>
  <si>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</si>
  <si>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</si>
  <si>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</si>
  <si>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</si>
  <si>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</si>
  <si>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</si>
  <si>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</si>
  <si>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</si>
  <si>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</si>
  <si>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</si>
  <si>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</si>
  <si>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</si>
  <si>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</si>
  <si>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</si>
  <si>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</si>
  <si>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</si>
  <si>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</si>
  <si>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</si>
  <si>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</si>
  <si>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</si>
  <si>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</si>
  <si>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</si>
  <si>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</si>
  <si>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</si>
  <si>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</si>
  <si>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</si>
  <si>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</si>
  <si>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</si>
  <si>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</si>
  <si>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</si>
  <si>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</si>
  <si>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</si>
  <si>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</si>
  <si>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</si>
  <si>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</si>
  <si>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</si>
  <si>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</si>
  <si>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</si>
  <si>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</si>
  <si>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</si>
  <si>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</si>
  <si>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</si>
  <si>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</si>
  <si>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</si>
  <si>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</si>
  <si>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</si>
  <si>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</si>
  <si>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</si>
  <si>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</si>
  <si>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</si>
  <si>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</si>
  <si>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</si>
  <si>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</si>
  <si>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</si>
  <si>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</si>
  <si>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</si>
  <si>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</si>
  <si>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</si>
  <si>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</si>
  <si>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</si>
  <si>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</si>
  <si>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</si>
  <si>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</si>
  <si>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</si>
  <si>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</si>
  <si>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</si>
  <si>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</si>
  <si>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</si>
  <si>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</si>
  <si>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</si>
  <si>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</si>
  <si>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</si>
  <si>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</si>
  <si>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</si>
  <si>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</si>
  <si>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</si>
  <si>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</si>
  <si>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</si>
  <si>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</si>
  <si>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</si>
  <si>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</si>
  <si>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</si>
  <si>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</si>
  <si>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</si>
  <si>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</si>
  <si>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</si>
  <si>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</si>
  <si>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</si>
  <si>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</si>
  <si>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</si>
  <si>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</si>
  <si>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</si>
  <si>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</si>
  <si>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</si>
  <si>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</si>
  <si>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</si>
  <si>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</si>
  <si>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</si>
  <si>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</si>
  <si>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</si>
  <si>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</si>
  <si>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</si>
  <si>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</si>
  <si>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</si>
  <si>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</si>
  <si>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</si>
  <si>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</si>
  <si>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</si>
  <si>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</si>
  <si>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</si>
  <si>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</si>
  <si>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</si>
  <si>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</si>
  <si>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</si>
  <si>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</si>
  <si>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</si>
  <si>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</si>
  <si>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</si>
  <si>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</si>
  <si>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</si>
  <si>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</si>
  <si>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</si>
  <si>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</si>
  <si>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</si>
  <si>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</si>
  <si>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</si>
  <si>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</si>
  <si>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</si>
  <si>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</si>
  <si>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</si>
  <si>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</si>
  <si>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</si>
  <si>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</si>
  <si>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</si>
  <si>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</si>
  <si>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</si>
  <si>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</si>
  <si>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</si>
  <si>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</si>
  <si>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</si>
  <si>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</si>
  <si>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</si>
  <si>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</si>
  <si>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</si>
  <si>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</si>
  <si>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</si>
  <si>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</si>
  <si>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</si>
  <si>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</si>
  <si>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</si>
  <si>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</si>
  <si>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</si>
  <si>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</si>
  <si>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</si>
  <si>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</si>
  <si>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</si>
  <si>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</si>
  <si>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</si>
  <si>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</si>
  <si>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</si>
  <si>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</si>
  <si>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</si>
  <si>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</si>
  <si>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</si>
  <si>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</si>
  <si>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</si>
  <si>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</si>
  <si>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</si>
  <si>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</si>
  <si>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</si>
  <si>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</si>
  <si>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</si>
  <si>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</si>
  <si>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</si>
  <si>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</si>
  <si>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</si>
  <si>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</si>
  <si>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</si>
  <si>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</si>
  <si>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</si>
  <si>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</si>
  <si>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</si>
  <si>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</si>
  <si>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</si>
  <si>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</si>
  <si>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</si>
  <si>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</si>
  <si>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</si>
  <si>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</si>
  <si>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</si>
  <si>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</si>
  <si>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</si>
  <si>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</si>
  <si>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</si>
  <si>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</si>
  <si>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</si>
  <si>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</si>
  <si>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</si>
  <si>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</si>
  <si>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</si>
  <si>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</si>
  <si>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</si>
  <si>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</si>
  <si>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</si>
  <si>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</si>
  <si>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</si>
  <si>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</si>
  <si>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</si>
  <si>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</si>
  <si>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</si>
  <si>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</si>
  <si>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</si>
  <si>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</si>
  <si>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</si>
  <si>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</si>
  <si>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</si>
  <si>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</si>
  <si>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</si>
  <si>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</si>
  <si>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</si>
  <si>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</si>
  <si>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</si>
  <si>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</si>
  <si>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</si>
  <si>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</si>
  <si>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</si>
  <si>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</si>
  <si>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</si>
  <si>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</si>
  <si>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</si>
  <si>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</si>
  <si>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</si>
  <si>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</si>
  <si>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</si>
  <si>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</si>
  <si>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</si>
  <si>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</si>
  <si>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</si>
  <si>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</si>
  <si>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</si>
  <si>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</si>
  <si>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</si>
  <si>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</si>
  <si>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</si>
  <si>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</si>
  <si>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</si>
  <si>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</si>
  <si>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</si>
  <si>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</si>
  <si>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</si>
  <si>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</si>
  <si>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</si>
  <si>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</si>
  <si>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</si>
  <si>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</si>
  <si>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</si>
  <si>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</si>
  <si>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</si>
  <si>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</si>
  <si>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</si>
  <si>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</si>
  <si>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</si>
  <si>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</si>
  <si>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</si>
  <si>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</si>
  <si>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</si>
  <si>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</si>
  <si>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</si>
  <si>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</si>
  <si>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</si>
  <si>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</si>
  <si>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</si>
  <si>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</si>
  <si>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</si>
  <si>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</si>
  <si>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</si>
  <si>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</si>
  <si>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</si>
  <si>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</si>
  <si>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</si>
  <si>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</si>
  <si>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</si>
  <si>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</si>
  <si>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</si>
  <si>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</si>
  <si>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</si>
  <si>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</si>
  <si>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</si>
  <si>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</si>
  <si>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</si>
  <si>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</si>
  <si>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</si>
  <si>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</si>
  <si>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</si>
  <si>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</si>
  <si>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</si>
  <si>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</si>
  <si>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</si>
  <si>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</si>
  <si>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</si>
  <si>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</si>
  <si>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</si>
  <si>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</si>
  <si>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</si>
  <si>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</si>
  <si>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</si>
  <si>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</si>
  <si>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</si>
  <si>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</si>
  <si>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</si>
  <si>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</si>
  <si>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</si>
  <si>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</si>
  <si>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</si>
  <si>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</si>
  <si>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</si>
  <si>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</si>
  <si>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</si>
  <si>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</si>
  <si>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</si>
  <si>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</si>
  <si>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</si>
  <si>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</si>
  <si>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</si>
  <si>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</si>
  <si>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</si>
  <si>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</si>
  <si>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</si>
  <si>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</si>
  <si>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</si>
  <si>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</si>
  <si>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</si>
  <si>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</si>
  <si>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</si>
  <si>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</si>
  <si>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</si>
  <si>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</si>
  <si>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</si>
  <si>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</si>
  <si>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</si>
  <si>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</si>
  <si>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</si>
  <si>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</si>
  <si>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</si>
  <si>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</si>
  <si>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</si>
  <si>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</si>
  <si>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</si>
  <si>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</si>
  <si>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</si>
  <si>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</si>
  <si>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</si>
  <si>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</si>
  <si>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</si>
  <si>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</si>
  <si>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</si>
  <si>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</si>
  <si>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</si>
  <si>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</si>
  <si>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</si>
  <si>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</si>
  <si>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</si>
  <si>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</si>
  <si>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</si>
  <si>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</si>
  <si>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</si>
  <si>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</si>
  <si>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</si>
  <si>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</si>
  <si>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</si>
  <si>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</si>
  <si>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</si>
  <si>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</si>
  <si>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</si>
  <si>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</si>
  <si>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</si>
  <si>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</si>
  <si>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</si>
  <si>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</si>
  <si>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</si>
  <si>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</si>
  <si>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</si>
  <si>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</si>
  <si>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</si>
  <si>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</si>
  <si>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</si>
  <si>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</si>
  <si>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</si>
  <si>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</si>
  <si>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</si>
  <si>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</si>
  <si>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</si>
  <si>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</si>
  <si>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</si>
  <si>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</si>
  <si>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</si>
  <si>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</si>
  <si>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</si>
  <si>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</si>
  <si>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</si>
  <si>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</si>
  <si>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</si>
  <si>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</si>
  <si>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</si>
  <si>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</si>
  <si>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</si>
  <si>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</si>
  <si>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</si>
  <si>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</si>
  <si>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</si>
  <si>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</si>
  <si>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</si>
  <si>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</si>
  <si>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</si>
  <si>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</si>
  <si>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</si>
  <si>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</si>
  <si>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</si>
  <si>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</si>
  <si>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</si>
  <si>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</si>
  <si>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</si>
  <si>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</si>
  <si>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</si>
  <si>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</si>
  <si>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</si>
  <si>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</si>
  <si>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</si>
  <si>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</si>
  <si>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</si>
  <si>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</si>
  <si>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</si>
  <si>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</si>
  <si>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</si>
  <si>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</si>
  <si>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</si>
  <si>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</si>
  <si>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</si>
  <si>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</si>
  <si>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</si>
  <si>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</si>
  <si>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</si>
  <si>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</si>
  <si>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</si>
  <si>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</si>
  <si>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</si>
  <si>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</si>
  <si>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</si>
  <si>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</si>
  <si>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</si>
  <si>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</si>
  <si>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</si>
  <si>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</si>
  <si>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</si>
  <si>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</si>
  <si>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</si>
  <si>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</si>
  <si>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</si>
  <si>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</si>
  <si>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</si>
  <si>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</si>
  <si>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</si>
  <si>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</si>
  <si>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</si>
  <si>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</si>
  <si>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</si>
  <si>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</si>
  <si>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</si>
  <si>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</si>
  <si>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</si>
  <si>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</si>
  <si>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</si>
  <si>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</si>
  <si>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</si>
  <si>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</si>
  <si>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</si>
  <si>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</si>
  <si>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</si>
  <si>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</si>
  <si>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</si>
  <si>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</si>
  <si>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</si>
  <si>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</si>
  <si>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</si>
  <si>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</si>
  <si>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</si>
  <si>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</si>
  <si>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</si>
  <si>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</si>
  <si>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</si>
  <si>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</si>
  <si>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</si>
  <si>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</si>
  <si>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</si>
  <si>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</si>
  <si>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</si>
  <si>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</si>
  <si>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</si>
  <si>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</si>
  <si>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</si>
  <si>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</si>
  <si>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</si>
  <si>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</si>
  <si>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</si>
  <si>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</si>
  <si>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</si>
  <si>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</si>
  <si>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</si>
  <si>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</si>
  <si>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</si>
  <si>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</si>
  <si>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</si>
  <si>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</si>
  <si>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</si>
  <si>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</si>
  <si>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</si>
  <si>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</si>
  <si>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</si>
  <si>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</si>
  <si>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</si>
  <si>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</si>
  <si>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</si>
  <si>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</si>
  <si>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</si>
  <si>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</si>
  <si>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</si>
  <si>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</si>
  <si>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</si>
  <si>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</si>
  <si>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</si>
  <si>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</si>
  <si>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</si>
  <si>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</si>
  <si>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</si>
  <si>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</si>
  <si>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</si>
  <si>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</si>
  <si>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</si>
  <si>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</si>
  <si>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</si>
  <si>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</si>
  <si>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</si>
  <si>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</si>
  <si>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</si>
  <si>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</si>
  <si>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</si>
  <si>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</si>
  <si>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</si>
  <si>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</si>
  <si>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</si>
  <si>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</si>
  <si>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</si>
  <si>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</si>
  <si>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</si>
  <si>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</si>
  <si>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</si>
  <si>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</si>
  <si>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</si>
  <si>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</si>
  <si>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</si>
  <si>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</si>
  <si>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</si>
  <si>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</si>
  <si>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</si>
  <si>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</si>
  <si>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</si>
  <si>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</si>
  <si>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</si>
  <si>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</si>
  <si>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</si>
  <si>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</si>
  <si>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</si>
  <si>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</si>
  <si>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</si>
  <si>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</si>
  <si>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</si>
  <si>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</si>
  <si>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</si>
  <si>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</si>
  <si>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</si>
  <si>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</si>
  <si>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</si>
  <si>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</si>
  <si>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</si>
  <si>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</si>
  <si>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</si>
  <si>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</si>
  <si>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</si>
  <si>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</si>
  <si>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</si>
  <si>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</si>
  <si>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</si>
  <si>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</si>
  <si>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</si>
  <si>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</si>
  <si>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</si>
  <si>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</si>
  <si>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</si>
  <si>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</si>
  <si>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</si>
  <si>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</si>
  <si>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</si>
  <si>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</si>
  <si>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</si>
  <si>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</si>
  <si>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</si>
  <si>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</si>
  <si>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</si>
  <si>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</si>
  <si>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</si>
  <si>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</si>
  <si>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</si>
  <si>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</si>
  <si>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</si>
  <si>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</si>
  <si>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</si>
  <si>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</si>
  <si>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</si>
  <si>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</si>
  <si>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</si>
  <si>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</si>
  <si>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</si>
  <si>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</si>
  <si>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</si>
  <si>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</si>
  <si>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</si>
  <si>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</si>
  <si>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</si>
  <si>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</si>
  <si>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</si>
  <si>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</si>
  <si>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</si>
  <si>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</si>
  <si>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</si>
  <si>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</si>
  <si>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</si>
  <si>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</si>
  <si>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</si>
  <si>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</si>
  <si>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</si>
  <si>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</si>
  <si>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</si>
  <si>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</si>
  <si>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</si>
  <si>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</si>
  <si>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</si>
  <si>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</si>
  <si>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</si>
  <si>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</si>
  <si>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</si>
  <si>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</si>
  <si>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</si>
  <si>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</si>
  <si>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</si>
  <si>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</si>
  <si>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</si>
  <si>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</si>
  <si>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</si>
  <si>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</si>
  <si>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</si>
  <si>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</si>
  <si>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</si>
  <si>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</si>
  <si>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</si>
  <si>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</si>
  <si>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</si>
  <si>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</si>
  <si>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</si>
  <si>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</si>
  <si>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</si>
  <si>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</si>
  <si>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</si>
  <si>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</si>
  <si>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</si>
  <si>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</si>
  <si>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</si>
  <si>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</si>
  <si>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</si>
  <si>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</si>
  <si>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</si>
  <si>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</si>
  <si>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</si>
  <si>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</si>
  <si>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</si>
  <si>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</si>
  <si>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</si>
  <si>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</si>
  <si>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</si>
  <si>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</si>
  <si>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</si>
  <si>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</si>
  <si>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</si>
  <si>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</si>
  <si>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</si>
  <si>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</si>
  <si>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</si>
  <si>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</si>
  <si>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</si>
  <si>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</si>
  <si>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</si>
  <si>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</si>
  <si>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</si>
  <si>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</si>
  <si>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</si>
  <si>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</si>
  <si>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</si>
  <si>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</si>
  <si>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</si>
  <si>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</si>
  <si>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</si>
  <si>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</si>
  <si>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</si>
  <si>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</si>
  <si>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</si>
  <si>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</si>
  <si>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</si>
  <si>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</si>
  <si>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</si>
  <si>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</si>
  <si>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</si>
  <si>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</si>
  <si>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</si>
  <si>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</si>
  <si>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</si>
  <si>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</si>
  <si>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</si>
  <si>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</si>
  <si>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</si>
  <si>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</si>
  <si>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</si>
  <si>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</si>
  <si>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</si>
  <si>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</si>
  <si>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</si>
  <si>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</si>
  <si>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</si>
  <si>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</si>
  <si>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</si>
  <si>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</si>
  <si>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</si>
  <si>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</si>
  <si>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</si>
  <si>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</si>
  <si>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</si>
  <si>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</si>
  <si>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</si>
  <si>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</si>
  <si>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</si>
  <si>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</si>
  <si>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</si>
  <si>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</si>
  <si>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</si>
  <si>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</si>
  <si>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</si>
  <si>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</si>
  <si>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</si>
  <si>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</si>
  <si>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</si>
  <si>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</si>
  <si>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</si>
  <si>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</si>
  <si>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</si>
  <si>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</si>
  <si>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</si>
  <si>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</si>
  <si>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</si>
  <si>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</si>
  <si>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</si>
  <si>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</si>
  <si>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</si>
  <si>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</si>
  <si>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</si>
  <si>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</si>
  <si>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</si>
  <si>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</si>
  <si>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</si>
  <si>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</si>
  <si>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</si>
  <si>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</si>
  <si>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</si>
  <si>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</si>
  <si>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</si>
  <si>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</si>
  <si>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</si>
  <si>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</si>
  <si>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</si>
  <si>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</si>
  <si>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</si>
  <si>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</si>
  <si>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</si>
  <si>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</si>
  <si>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</si>
  <si>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</si>
  <si>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</si>
  <si>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</si>
  <si>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</si>
  <si>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</si>
  <si>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</si>
  <si>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</si>
  <si>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</si>
  <si>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</si>
  <si>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</si>
  <si>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</si>
  <si>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</si>
  <si>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</si>
  <si>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</si>
  <si>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</si>
  <si>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</si>
  <si>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</si>
  <si>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</si>
  <si>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</si>
  <si>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</si>
  <si>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</si>
  <si>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</si>
  <si>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</si>
  <si>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</si>
  <si>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</si>
  <si>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</si>
  <si>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</si>
  <si>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</si>
  <si>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</si>
  <si>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</si>
  <si>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</si>
  <si>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</si>
  <si>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</si>
  <si>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</si>
  <si>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</si>
  <si>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</si>
  <si>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</si>
  <si>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</si>
  <si>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</si>
  <si>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</si>
  <si>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</si>
  <si>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</si>
  <si>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</si>
  <si>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</si>
  <si>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</si>
  <si>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</si>
  <si>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</si>
  <si>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</si>
  <si>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</si>
  <si>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</si>
  <si>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</si>
  <si>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</si>
  <si>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</si>
  <si>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</si>
  <si>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</si>
  <si>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</si>
  <si>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</si>
  <si>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</si>
  <si>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</si>
  <si>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</si>
  <si>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</si>
  <si>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</si>
  <si>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</si>
  <si>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</si>
  <si>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</si>
  <si>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</si>
  <si>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</si>
  <si>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</si>
  <si>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</si>
  <si>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</si>
  <si>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</si>
  <si>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</si>
  <si>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</si>
  <si>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</si>
  <si>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</si>
  <si>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</si>
  <si>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</si>
  <si>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</si>
  <si>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</si>
  <si>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</si>
  <si>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</si>
  <si>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</si>
  <si>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</si>
  <si>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</si>
  <si>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</si>
  <si>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</si>
  <si>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</si>
  <si>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</si>
  <si>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</si>
  <si>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</si>
  <si>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</si>
  <si>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</si>
  <si>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</si>
  <si>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</si>
  <si>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</si>
  <si>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</si>
  <si>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</si>
  <si>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</si>
  <si>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</si>
  <si>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</si>
  <si>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</si>
  <si>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</si>
  <si>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</si>
  <si>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</si>
  <si>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</si>
  <si>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</si>
  <si>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</si>
  <si>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</si>
  <si>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</si>
  <si>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</si>
  <si>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</si>
  <si>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</si>
  <si>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</si>
  <si>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</si>
  <si>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</si>
  <si>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</si>
  <si>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</si>
  <si>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</si>
  <si>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</si>
  <si>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</si>
  <si>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</si>
  <si>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</si>
  <si>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</si>
  <si>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</si>
  <si>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</si>
  <si>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</si>
  <si>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</si>
  <si>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</si>
  <si>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</si>
  <si>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</si>
  <si>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</si>
  <si>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</si>
  <si>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</si>
  <si>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</si>
  <si>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</si>
  <si>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</si>
  <si>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</si>
  <si>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</si>
  <si>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</si>
  <si>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</si>
  <si>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</si>
  <si>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</si>
  <si>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</si>
  <si>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</si>
  <si>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</si>
  <si>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</si>
  <si>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</si>
  <si>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</si>
  <si>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</si>
  <si>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</si>
  <si>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</si>
  <si>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</si>
  <si>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</si>
  <si>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</si>
  <si>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</si>
  <si>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</si>
  <si>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</si>
  <si>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</si>
  <si>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</si>
  <si>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</si>
  <si>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</si>
  <si>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</si>
  <si>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</si>
  <si>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</si>
  <si>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</si>
  <si>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</si>
  <si>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</si>
  <si>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</si>
  <si>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</si>
  <si>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</si>
  <si>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</si>
  <si>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</si>
  <si>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</si>
  <si>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</si>
  <si>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</si>
  <si>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</si>
  <si>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</si>
  <si>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</si>
  <si>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</si>
  <si>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</si>
  <si>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</si>
  <si>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</si>
  <si>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</si>
  <si>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</si>
  <si>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</si>
  <si>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</si>
  <si>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</si>
  <si>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</si>
  <si>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</si>
  <si>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</si>
  <si>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</si>
  <si>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</si>
  <si>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</si>
  <si>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</si>
  <si>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</si>
  <si>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</si>
  <si>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</si>
  <si>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</si>
  <si>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</si>
  <si>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</si>
  <si>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</si>
  <si>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</si>
  <si>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</si>
  <si>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</si>
  <si>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</si>
  <si>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</si>
  <si>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</si>
  <si>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</si>
  <si>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</si>
  <si>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</si>
  <si>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</si>
  <si>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</si>
  <si>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</si>
  <si>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</si>
  <si>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</si>
  <si>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</si>
  <si>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</si>
  <si>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</si>
  <si>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</si>
  <si>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</si>
  <si>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</si>
  <si>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</si>
  <si>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</si>
  <si>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</si>
  <si>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</si>
  <si>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</si>
  <si>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</si>
  <si>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</si>
  <si>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</si>
  <si>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</si>
  <si>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</si>
  <si>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</si>
  <si>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</si>
  <si>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</si>
  <si>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</si>
  <si>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</si>
  <si>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</si>
  <si>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</si>
  <si>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</si>
  <si>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</si>
  <si>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</si>
  <si>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</si>
  <si>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</si>
  <si>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</si>
  <si>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</si>
  <si>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</si>
  <si>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</si>
  <si>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</si>
  <si>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</si>
  <si>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</si>
  <si>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</si>
  <si>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</si>
  <si>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</si>
  <si>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</si>
  <si>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</si>
  <si>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</si>
  <si>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</si>
  <si>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</si>
  <si>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</si>
  <si>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</si>
  <si>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</si>
  <si>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</si>
  <si>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</si>
  <si>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</si>
  <si>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</si>
  <si>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</si>
  <si>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</si>
  <si>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</si>
  <si>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</si>
  <si>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</si>
  <si>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</si>
  <si>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</si>
  <si>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</si>
  <si>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</si>
  <si>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</si>
  <si>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</si>
  <si>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</si>
  <si>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</si>
  <si>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</si>
  <si>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</si>
  <si>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</si>
  <si>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</si>
  <si>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</si>
  <si>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</si>
  <si>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</si>
  <si>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</si>
  <si>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</si>
  <si>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</si>
  <si>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</si>
  <si>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</si>
  <si>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</si>
  <si>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</si>
  <si>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</si>
  <si>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</si>
  <si>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</si>
  <si>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</si>
  <si>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</si>
  <si>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</si>
  <si>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</si>
  <si>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</si>
  <si>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</si>
  <si>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</si>
  <si>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</si>
  <si>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</si>
  <si>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</si>
  <si>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</si>
  <si>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</si>
  <si>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</si>
  <si>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</si>
  <si>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</si>
  <si>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</si>
  <si>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</si>
  <si>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</si>
  <si>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</si>
  <si>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</si>
  <si>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</si>
  <si>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</si>
  <si>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</si>
  <si>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</si>
  <si>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</si>
  <si>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</si>
  <si>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</si>
  <si>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</si>
  <si>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</si>
  <si>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</si>
  <si>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</si>
  <si>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</si>
  <si>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</si>
  <si>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</si>
  <si>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</si>
  <si>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</si>
  <si>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</si>
  <si>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</si>
  <si>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</si>
  <si>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</si>
  <si>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</si>
  <si>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</si>
  <si>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</si>
  <si>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</si>
  <si>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</si>
  <si>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</si>
  <si>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</si>
  <si>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</si>
  <si>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</si>
  <si>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</si>
  <si>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</si>
  <si>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</si>
  <si>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</si>
  <si>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</si>
  <si>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</si>
  <si>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</si>
  <si>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</si>
  <si>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</si>
  <si>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</si>
  <si>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</si>
  <si>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</si>
  <si>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</si>
  <si>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</si>
  <si>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</si>
  <si>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</si>
  <si>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</si>
  <si>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</si>
  <si>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</si>
  <si>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</si>
  <si>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</si>
  <si>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</si>
  <si>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</si>
  <si>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</si>
  <si>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</si>
  <si>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</si>
  <si>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</si>
  <si>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</si>
  <si>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</si>
  <si>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</si>
  <si>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</si>
  <si>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</si>
  <si>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</si>
  <si>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</si>
  <si>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</si>
  <si>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</si>
  <si>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</si>
  <si>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</si>
  <si>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</si>
  <si>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</si>
  <si>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</si>
  <si>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</si>
  <si>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</si>
  <si>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</si>
  <si>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</si>
  <si>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</si>
  <si>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</si>
  <si>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</si>
  <si>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</si>
  <si>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</si>
  <si>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</si>
  <si>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</si>
  <si>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</si>
  <si>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</si>
  <si>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</si>
  <si>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</si>
  <si>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</si>
  <si>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</si>
  <si>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</si>
  <si>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</si>
  <si>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</si>
  <si>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</si>
  <si>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</si>
  <si>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</si>
  <si>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</si>
  <si>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</si>
  <si>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</si>
  <si>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</si>
  <si>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</si>
  <si>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</si>
  <si>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</si>
  <si>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</si>
  <si>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</si>
  <si>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</si>
  <si>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</si>
  <si>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</si>
  <si>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</si>
  <si>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</si>
  <si>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</si>
  <si>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</si>
  <si>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</si>
  <si>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</si>
  <si>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</si>
  <si>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</si>
  <si>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</si>
  <si>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</si>
  <si>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</si>
  <si>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</si>
  <si>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</si>
  <si>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</si>
  <si>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</si>
  <si>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</si>
  <si>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</si>
  <si>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</si>
  <si>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</si>
  <si>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</si>
  <si>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</si>
  <si>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</si>
  <si>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</si>
  <si>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</si>
  <si>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</si>
  <si>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</si>
  <si>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</si>
  <si>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</si>
  <si>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</si>
  <si>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</si>
  <si>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</si>
  <si>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</si>
  <si>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</si>
  <si>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</si>
  <si>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</si>
  <si>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</si>
  <si>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</si>
  <si>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</si>
  <si>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</si>
  <si>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</si>
  <si>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</si>
  <si>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</si>
  <si>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</si>
  <si>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</si>
  <si>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</si>
  <si>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</si>
  <si>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</si>
  <si>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</si>
  <si>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</si>
  <si>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</si>
  <si>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</si>
  <si>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</si>
  <si>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</si>
  <si>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</si>
  <si>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</si>
  <si>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</si>
  <si>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</si>
  <si>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</si>
  <si>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</si>
  <si>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</si>
  <si>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</si>
  <si>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</si>
  <si>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</si>
  <si>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</si>
  <si>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</si>
  <si>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</si>
  <si>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</si>
  <si>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</si>
  <si>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</si>
  <si>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</si>
  <si>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</si>
  <si>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</si>
  <si>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自然人</t>
  </si>
  <si>
    <t>中国技术交易大厦(第三极大厦) - 欢迎您！</t>
  </si>
  <si>
    <t>商务金融用地</t>
  </si>
  <si>
    <t>是</t>
  </si>
  <si>
    <t>地上</t>
  </si>
  <si>
    <t>办公</t>
    <phoneticPr fontId="7" type="noConversion"/>
  </si>
  <si>
    <t>成新度</t>
  </si>
  <si>
    <t>收益法 (元)</t>
  </si>
  <si>
    <t>押一</t>
  </si>
  <si>
    <t>钢混</t>
  </si>
  <si>
    <t>非生产用房</t>
  </si>
  <si>
    <t>利息：取LPR加浮动点数</t>
  </si>
  <si>
    <t>北京市</t>
  </si>
  <si>
    <t>核定资产</t>
  </si>
  <si>
    <t>房地产市场价值</t>
  </si>
  <si>
    <t>未包含在土地购买价格中</t>
  </si>
  <si>
    <t>已包含在土地取得成本中</t>
  </si>
  <si>
    <t>成本法 (元)</t>
  </si>
  <si>
    <t>【北京写字楼出租|北京办公室出租/租赁|北京写字楼出租网】-北京贝壳商业地产</t>
  </si>
  <si>
    <t>2024-1-1024</t>
    <phoneticPr fontId="6" type="noConversion"/>
  </si>
  <si>
    <t>较好</t>
  </si>
  <si>
    <t>精装修</t>
  </si>
  <si>
    <t>精装修</t>
    <phoneticPr fontId="31" type="noConversion"/>
  </si>
  <si>
    <t>简单装修</t>
  </si>
  <si>
    <t>简单装修</t>
    <phoneticPr fontId="31" type="noConversion"/>
  </si>
  <si>
    <t>办公室</t>
  </si>
  <si>
    <t>办公室</t>
    <phoneticPr fontId="31" type="noConversion"/>
  </si>
  <si>
    <t>过道</t>
  </si>
  <si>
    <t>过道</t>
    <phoneticPr fontId="31" type="noConversion"/>
  </si>
  <si>
    <t>可单独使用</t>
    <phoneticPr fontId="31" type="noConversion"/>
  </si>
  <si>
    <t>否</t>
    <phoneticPr fontId="31" type="noConversion"/>
  </si>
  <si>
    <t>是</t>
    <phoneticPr fontId="31" type="noConversion"/>
  </si>
  <si>
    <t>好</t>
  </si>
  <si>
    <t>租金</t>
  </si>
  <si>
    <t>单套模式</t>
  </si>
  <si>
    <t>中国技术交易大厦</t>
    <phoneticPr fontId="3" type="noConversion"/>
  </si>
  <si>
    <t>高楼层</t>
    <phoneticPr fontId="31" type="noConversion"/>
  </si>
  <si>
    <t>中楼层</t>
  </si>
  <si>
    <t>中楼层</t>
    <phoneticPr fontId="31" type="noConversion"/>
  </si>
  <si>
    <t>低楼层</t>
  </si>
  <si>
    <t>低楼层</t>
    <phoneticPr fontId="31" type="noConversion"/>
  </si>
  <si>
    <t>与级别开发程度不一致</t>
  </si>
  <si>
    <t>通电</t>
  </si>
  <si>
    <t>通路</t>
  </si>
  <si>
    <t>通讯</t>
  </si>
  <si>
    <t>通上水</t>
  </si>
  <si>
    <t>通下水</t>
  </si>
  <si>
    <t>平整</t>
  </si>
  <si>
    <t>陈颖</t>
  </si>
  <si>
    <t>正常</t>
  </si>
  <si>
    <t>挂牌</t>
  </si>
  <si>
    <t>挂牌</t>
    <phoneticPr fontId="31"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</si>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</sst>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34</xdr:row>
      <xdr:rowOff>27843</xdr:rowOff>
    </xdr:to>
    <xdr:pic>
      <xdr:nvPicPr>
        <xdr:cNvPr id="2" name="图片 1">
          <a:extLst>
            <a:ext uri="{FF2B5EF4-FFF2-40B4-BE49-F238E27FC236}">
              <a16:creationId xmlns:a16="http://schemas.microsoft.com/office/drawing/2014/main" id="{6B93B216-DB78-B34C-E521-4BCBC3F32E04}"/>
            </a:ext>
          </a:extLst>
        </xdr:cNvPr>
        <xdr:cNvPicPr>
          <a:picLocks noChangeAspect="1"/>
        </xdr:cNvPicPr>
      </xdr:nvPicPr>
      <xdr:blipFill>
        <a:blip xmlns:r="http://schemas.openxmlformats.org/officeDocument/2006/relationships" r:embed="rId1"/>
        <a:stretch>
          <a:fillRect/>
        </a:stretch>
      </xdr:blipFill>
      <xdr:spPr>
        <a:xfrm>
          <a:off x="0" y="0"/>
          <a:ext cx="6219048" cy="5857143"/>
        </a:xfrm>
        <a:prstGeom prst="rect">
          <a:avLst/>
        </a:prstGeom>
      </xdr:spPr>
    </xdr:pic>
    <xdr:clientData/>
  </xdr:twoCellAnchor>
  <xdr:twoCellAnchor editAs="oneCell">
    <xdr:from>
      <xdr:col>9</xdr:col>
      <xdr:colOff>247650</xdr:colOff>
      <xdr:row>0</xdr:row>
      <xdr:rowOff>0</xdr:rowOff>
    </xdr:from>
    <xdr:to>
      <xdr:col>20</xdr:col>
      <xdr:colOff>457199</xdr:colOff>
      <xdr:row>34</xdr:row>
      <xdr:rowOff>21278</xdr:rowOff>
    </xdr:to>
    <xdr:pic>
      <xdr:nvPicPr>
        <xdr:cNvPr id="3" name="图片 2">
          <a:extLst>
            <a:ext uri="{FF2B5EF4-FFF2-40B4-BE49-F238E27FC236}">
              <a16:creationId xmlns:a16="http://schemas.microsoft.com/office/drawing/2014/main" id="{24D05029-322F-EE41-B98E-C1FD4A14BC57}"/>
            </a:ext>
          </a:extLst>
        </xdr:cNvPr>
        <xdr:cNvPicPr>
          <a:picLocks noChangeAspect="1"/>
        </xdr:cNvPicPr>
      </xdr:nvPicPr>
      <xdr:blipFill>
        <a:blip xmlns:r="http://schemas.openxmlformats.org/officeDocument/2006/relationships" r:embed="rId2"/>
        <a:stretch>
          <a:fillRect/>
        </a:stretch>
      </xdr:blipFill>
      <xdr:spPr>
        <a:xfrm>
          <a:off x="6419850" y="0"/>
          <a:ext cx="7753349" cy="5850578"/>
        </a:xfrm>
        <a:prstGeom prst="rect">
          <a:avLst/>
        </a:prstGeom>
      </xdr:spPr>
    </xdr:pic>
    <xdr:clientData/>
  </xdr:twoCellAnchor>
  <xdr:twoCellAnchor editAs="oneCell">
    <xdr:from>
      <xdr:col>20</xdr:col>
      <xdr:colOff>285749</xdr:colOff>
      <xdr:row>2</xdr:row>
      <xdr:rowOff>3521</xdr:rowOff>
    </xdr:from>
    <xdr:to>
      <xdr:col>34</xdr:col>
      <xdr:colOff>46236</xdr:colOff>
      <xdr:row>33</xdr:row>
      <xdr:rowOff>27783</xdr:rowOff>
    </xdr:to>
    <xdr:pic>
      <xdr:nvPicPr>
        <xdr:cNvPr id="4" name="图片 3">
          <a:extLst>
            <a:ext uri="{FF2B5EF4-FFF2-40B4-BE49-F238E27FC236}">
              <a16:creationId xmlns:a16="http://schemas.microsoft.com/office/drawing/2014/main" id="{157BA269-45A3-0D54-49CB-56651A38E3F2}"/>
            </a:ext>
          </a:extLst>
        </xdr:cNvPr>
        <xdr:cNvPicPr>
          <a:picLocks noChangeAspect="1"/>
        </xdr:cNvPicPr>
      </xdr:nvPicPr>
      <xdr:blipFill>
        <a:blip xmlns:r="http://schemas.openxmlformats.org/officeDocument/2006/relationships" r:embed="rId3"/>
        <a:stretch>
          <a:fillRect/>
        </a:stretch>
      </xdr:blipFill>
      <xdr:spPr>
        <a:xfrm>
          <a:off x="14001749" y="346421"/>
          <a:ext cx="9361687" cy="5339212"/>
        </a:xfrm>
        <a:prstGeom prst="rect">
          <a:avLst/>
        </a:prstGeom>
      </xdr:spPr>
    </xdr:pic>
    <xdr:clientData/>
  </xdr:twoCellAnchor>
  <xdr:twoCellAnchor editAs="oneCell">
    <xdr:from>
      <xdr:col>0</xdr:col>
      <xdr:colOff>0</xdr:colOff>
      <xdr:row>31</xdr:row>
      <xdr:rowOff>66675</xdr:rowOff>
    </xdr:from>
    <xdr:to>
      <xdr:col>13</xdr:col>
      <xdr:colOff>126385</xdr:colOff>
      <xdr:row>58</xdr:row>
      <xdr:rowOff>113546</xdr:rowOff>
    </xdr:to>
    <xdr:pic>
      <xdr:nvPicPr>
        <xdr:cNvPr id="5" name="图片 4">
          <a:extLst>
            <a:ext uri="{FF2B5EF4-FFF2-40B4-BE49-F238E27FC236}">
              <a16:creationId xmlns:a16="http://schemas.microsoft.com/office/drawing/2014/main" id="{EA596D08-7FD9-31F1-C66F-CBEADCD29ECD}"/>
            </a:ext>
          </a:extLst>
        </xdr:cNvPr>
        <xdr:cNvPicPr>
          <a:picLocks noChangeAspect="1"/>
        </xdr:cNvPicPr>
      </xdr:nvPicPr>
      <xdr:blipFill>
        <a:blip xmlns:r="http://schemas.openxmlformats.org/officeDocument/2006/relationships" r:embed="rId4"/>
        <a:stretch>
          <a:fillRect/>
        </a:stretch>
      </xdr:blipFill>
      <xdr:spPr>
        <a:xfrm>
          <a:off x="0" y="5381625"/>
          <a:ext cx="9041785" cy="4676021"/>
        </a:xfrm>
        <a:prstGeom prst="rect">
          <a:avLst/>
        </a:prstGeom>
      </xdr:spPr>
    </xdr:pic>
    <xdr:clientData/>
  </xdr:twoCellAnchor>
  <xdr:twoCellAnchor editAs="oneCell">
    <xdr:from>
      <xdr:col>24</xdr:col>
      <xdr:colOff>504825</xdr:colOff>
      <xdr:row>61</xdr:row>
      <xdr:rowOff>28575</xdr:rowOff>
    </xdr:from>
    <xdr:to>
      <xdr:col>36</xdr:col>
      <xdr:colOff>379987</xdr:colOff>
      <xdr:row>99</xdr:row>
      <xdr:rowOff>8713</xdr:rowOff>
    </xdr:to>
    <xdr:pic>
      <xdr:nvPicPr>
        <xdr:cNvPr id="6" name="图片 5">
          <a:extLst>
            <a:ext uri="{FF2B5EF4-FFF2-40B4-BE49-F238E27FC236}">
              <a16:creationId xmlns:a16="http://schemas.microsoft.com/office/drawing/2014/main" id="{F075CB6D-1188-D179-6D87-824907421825}"/>
            </a:ext>
          </a:extLst>
        </xdr:cNvPr>
        <xdr:cNvPicPr>
          <a:picLocks noChangeAspect="1"/>
        </xdr:cNvPicPr>
      </xdr:nvPicPr>
      <xdr:blipFill>
        <a:blip xmlns:r="http://schemas.openxmlformats.org/officeDocument/2006/relationships" r:embed="rId5"/>
        <a:stretch>
          <a:fillRect/>
        </a:stretch>
      </xdr:blipFill>
      <xdr:spPr>
        <a:xfrm>
          <a:off x="16964025" y="10487025"/>
          <a:ext cx="8104762" cy="6495238"/>
        </a:xfrm>
        <a:prstGeom prst="rect">
          <a:avLst/>
        </a:prstGeom>
      </xdr:spPr>
    </xdr:pic>
    <xdr:clientData/>
  </xdr:twoCellAnchor>
  <xdr:twoCellAnchor editAs="oneCell">
    <xdr:from>
      <xdr:col>25</xdr:col>
      <xdr:colOff>342900</xdr:colOff>
      <xdr:row>36</xdr:row>
      <xdr:rowOff>100469</xdr:rowOff>
    </xdr:from>
    <xdr:to>
      <xdr:col>35</xdr:col>
      <xdr:colOff>208546</xdr:colOff>
      <xdr:row>69</xdr:row>
      <xdr:rowOff>113452</xdr:rowOff>
    </xdr:to>
    <xdr:pic>
      <xdr:nvPicPr>
        <xdr:cNvPr id="7" name="图片 6">
          <a:extLst>
            <a:ext uri="{FF2B5EF4-FFF2-40B4-BE49-F238E27FC236}">
              <a16:creationId xmlns:a16="http://schemas.microsoft.com/office/drawing/2014/main" id="{669D1FBC-A09B-A967-6840-C285C575D0AF}"/>
            </a:ext>
          </a:extLst>
        </xdr:cNvPr>
        <xdr:cNvPicPr>
          <a:picLocks noChangeAspect="1"/>
        </xdr:cNvPicPr>
      </xdr:nvPicPr>
      <xdr:blipFill>
        <a:blip xmlns:r="http://schemas.openxmlformats.org/officeDocument/2006/relationships" r:embed="rId6"/>
        <a:stretch>
          <a:fillRect/>
        </a:stretch>
      </xdr:blipFill>
      <xdr:spPr>
        <a:xfrm>
          <a:off x="17487900" y="6272669"/>
          <a:ext cx="6723646" cy="5670833"/>
        </a:xfrm>
        <a:prstGeom prst="rect">
          <a:avLst/>
        </a:prstGeom>
      </xdr:spPr>
    </xdr:pic>
    <xdr:clientData/>
  </xdr:twoCellAnchor>
  <xdr:twoCellAnchor editAs="oneCell">
    <xdr:from>
      <xdr:col>13</xdr:col>
      <xdr:colOff>9525</xdr:colOff>
      <xdr:row>37</xdr:row>
      <xdr:rowOff>0</xdr:rowOff>
    </xdr:from>
    <xdr:to>
      <xdr:col>24</xdr:col>
      <xdr:colOff>541915</xdr:colOff>
      <xdr:row>63</xdr:row>
      <xdr:rowOff>113729</xdr:rowOff>
    </xdr:to>
    <xdr:pic>
      <xdr:nvPicPr>
        <xdr:cNvPr id="9" name="图片 8">
          <a:extLst>
            <a:ext uri="{FF2B5EF4-FFF2-40B4-BE49-F238E27FC236}">
              <a16:creationId xmlns:a16="http://schemas.microsoft.com/office/drawing/2014/main" id="{A165A50D-5747-8338-F69E-ADD6D0213590}"/>
            </a:ext>
          </a:extLst>
        </xdr:cNvPr>
        <xdr:cNvPicPr>
          <a:picLocks noChangeAspect="1"/>
        </xdr:cNvPicPr>
      </xdr:nvPicPr>
      <xdr:blipFill>
        <a:blip xmlns:r="http://schemas.openxmlformats.org/officeDocument/2006/relationships" r:embed="rId7"/>
        <a:stretch>
          <a:fillRect/>
        </a:stretch>
      </xdr:blipFill>
      <xdr:spPr>
        <a:xfrm>
          <a:off x="8924925" y="6343650"/>
          <a:ext cx="8076190"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hangye.lianjia.com/bj/xzl_rent.html?query_content=%E4%B8%AD%E5%9B%BD%E6%8A%80%E6%9C%AF%E4%BA%A4%E6%98%93%E5%A4%A7%E5%8E%A6" TargetMode="External"/><Relationship Id="rId2" Type="http://schemas.openxmlformats.org/officeDocument/2006/relationships/hyperlink" Target="https://www.jishujiaoyi.cn/" TargetMode="External"/><Relationship Id="rId1" Type="http://schemas.openxmlformats.org/officeDocument/2006/relationships/hyperlink" Target="https://www.jishujiaoyi.cn/" TargetMode="Externa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5" thickBot="1">
      <c r="A5" s="1122" t="s">
        <v>525</v>
      </c>
      <c r="B5" s="1123" t="str">
        <f>'预评函-封皮'!B49</f>
        <v>康正预评字2024-1-1024号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2024年12月16日（评估专业人员实地查勘之日）</v>
      </c>
    </row>
    <row r="13" spans="1:2">
      <c r="A13" s="1119" t="s">
        <v>529</v>
      </c>
      <c r="B13" s="1120"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3" t="s">
        <v>2581</v>
      </c>
      <c r="J2" s="3193"/>
      <c r="K2" s="3193"/>
      <c r="L2" s="3193"/>
      <c r="M2" s="3193"/>
      <c r="N2" s="3193"/>
      <c r="O2" s="3193"/>
      <c r="P2" s="3193"/>
      <c r="Q2" s="3193"/>
      <c r="R2" s="3193"/>
    </row>
    <row r="3" spans="1:18">
      <c r="A3" s="2763" t="s">
        <v>2502</v>
      </c>
      <c r="B3" s="2764">
        <f>项目基本情况!D3</f>
        <v>45642</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v>
      </c>
      <c r="D5" s="2768">
        <f>IF(ISERROR(ROUND(POWER(1+E5,A5-C5)*(POWER(1+E5,C5)-1)/(POWER(1+E5,A5)-1),3)),0,ROUND(POWER(1+E5,A5-C5)*(POWER(1+E5,C5)-1)/(POWER(1+E5,A5)-1),4))</f>
        <v>9.5299999999999996E-2</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12.01</v>
      </c>
      <c r="D6" s="2768">
        <f>IF(ISERROR(ROUND(POWER(1+E6,A6-C6)*(POWER(1+E6,C6)-1)/(POWER(1+E6,A6)-1),3)),0,ROUND(POWER(1+E6,A6-C6)*(POWER(1+E6,C6)-1)/(POWER(1+E6,A6)-1),4))</f>
        <v>0.43719999999999998</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32.03</v>
      </c>
      <c r="D7" s="2768">
        <f>IF(ISERROR(ROUND(POWER(1+E7,A7-C7)*(POWER(1+E7,C7)-1)/(POWER(1+E7,A7)-1),3)),0,ROUND(POWER(1+E7,A7-C7)*(POWER(1+E7,C7)-1)/(POWER(1+E7,A7)-1),4))</f>
        <v>0.76439999999999997</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4.25" thickBot="1">
      <c r="A18" s="2773" t="s">
        <v>2517</v>
      </c>
      <c r="B18" s="2774">
        <f>ROUND(B17*F11/F12,2)</f>
        <v>5541.87</v>
      </c>
      <c r="C18" s="2774">
        <f>ROUND(F11/F12,4)</f>
        <v>1.1521999999999999</v>
      </c>
      <c r="D18" s="2775"/>
      <c r="E18" s="2775"/>
      <c r="F18" s="2776"/>
    </row>
    <row r="19" spans="1:13" ht="14.25" thickBot="1"/>
    <row r="20" spans="1:13" s="2809" customFormat="1" ht="14.2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4.2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t="s">
        <v>3408</v>
      </c>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45642</v>
      </c>
      <c r="C3" s="2186" t="s">
        <v>2171</v>
      </c>
      <c r="D3" s="2185">
        <v>45642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04" t="s">
        <v>2177</v>
      </c>
      <c r="E8" s="2202"/>
      <c r="F8" s="2203"/>
      <c r="G8" s="2442"/>
      <c r="H8" s="2442"/>
      <c r="I8" s="2442"/>
      <c r="J8" s="2245"/>
      <c r="K8" s="2400"/>
      <c r="L8" s="2399"/>
      <c r="M8" s="2399"/>
      <c r="N8" s="2245"/>
      <c r="O8" s="1670"/>
      <c r="P8" s="2245"/>
      <c r="Q8" s="2245"/>
      <c r="R8" s="2245"/>
    </row>
    <row r="9" spans="1:30" ht="13.5" thickBot="1">
      <c r="A9" s="2204" t="s">
        <v>2178</v>
      </c>
      <c r="B9" s="2205" t="s">
        <v>3403</v>
      </c>
      <c r="C9" s="2206"/>
      <c r="D9" s="3205"/>
      <c r="E9" s="2205"/>
      <c r="F9" s="2207"/>
      <c r="G9" s="2443"/>
      <c r="H9" s="2443"/>
      <c r="I9" s="2443"/>
      <c r="J9" s="2245"/>
      <c r="K9" s="2402"/>
      <c r="L9" s="2399"/>
      <c r="M9" s="2399"/>
      <c r="N9" s="2245"/>
      <c r="O9" s="1670"/>
      <c r="P9" s="2245"/>
      <c r="Q9" s="2245"/>
      <c r="R9" s="2245"/>
    </row>
    <row r="10" spans="1:30" ht="13.5" thickTop="1">
      <c r="A10" s="2208" t="s">
        <v>2179</v>
      </c>
      <c r="B10" s="2209" t="s">
        <v>3401</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v>52402</v>
      </c>
      <c r="E13" s="803">
        <v>56055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18.52</v>
      </c>
      <c r="E15" s="2221">
        <f>IF(A13="出让",IF(E13="","",ROUNDDOWN(MIN((E13-$D$3)/365,E14),2)),E14)</f>
        <v>28.52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41.09</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147</v>
      </c>
      <c r="C38" s="2238" t="s">
        <v>146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41.09</v>
      </c>
      <c r="H5" s="13">
        <f t="shared" ref="H5:AT5" si="0">SUM(H13:H656)</f>
        <v>41.09</v>
      </c>
      <c r="I5" s="13">
        <f t="shared" si="0"/>
        <v>41.09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41.09</v>
      </c>
      <c r="BA5" s="15">
        <f t="shared" si="1"/>
        <v>41.09</v>
      </c>
      <c r="BB5" s="15">
        <f t="shared" si="1"/>
        <v>41.09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41.09</v>
      </c>
      <c r="H13" s="17">
        <f>SUMIF(I$12:AB$12,"总值",I13:AB13)</f>
        <v>41.09</v>
      </c>
      <c r="I13" s="1514">
        <v>41.09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41.09</v>
      </c>
      <c r="BA13" s="13">
        <f>SUM(BB13:BK13)</f>
        <v>41.09</v>
      </c>
      <c r="BB13" s="13">
        <f>IF($D13="是",I13-J13,0)</f>
        <v>41.09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2" t="s">
        <v>1131</v>
      </c>
      <c r="B2" s="3232"/>
      <c r="C2" s="3232"/>
      <c r="D2" s="748" t="s">
        <v>1107</v>
      </c>
      <c r="E2" s="1523" t="s">
        <v>1108</v>
      </c>
      <c r="F2" s="2439"/>
      <c r="G2" s="2432"/>
      <c r="H2" s="2433"/>
      <c r="I2" s="2146" t="s">
        <v>1132</v>
      </c>
      <c r="J2" s="2439"/>
      <c r="K2" s="2439"/>
      <c r="L2" s="2439"/>
      <c r="M2" s="2439"/>
      <c r="N2" s="2440"/>
      <c r="O2" s="2439"/>
      <c r="P2" s="2439"/>
    </row>
    <row r="3" spans="1:16" ht="15.75" thickBot="1">
      <c r="A3" s="3233" t="s">
        <v>1105</v>
      </c>
      <c r="B3" s="3233"/>
      <c r="C3" s="3233"/>
      <c r="D3" s="41">
        <f>'数据-基础表'!AY6</f>
        <v>0</v>
      </c>
      <c r="E3" s="41">
        <f>'数据-基础表'!AZ5</f>
        <v>41.09</v>
      </c>
      <c r="F3" s="2439"/>
      <c r="G3" s="42"/>
      <c r="H3" s="43" t="s">
        <v>1106</v>
      </c>
      <c r="I3" s="802" t="e">
        <f>ROUND('数据-基础表'!B3/'数据-基础表'!A3,2)</f>
        <v>#DIV/0!</v>
      </c>
      <c r="J3" s="2439"/>
      <c r="K3" s="2439"/>
      <c r="L3" s="2439"/>
      <c r="M3" s="2439"/>
      <c r="N3" s="2440"/>
      <c r="O3" s="2439"/>
      <c r="P3" s="2439"/>
    </row>
    <row r="4" spans="1:16" ht="15">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41.09</v>
      </c>
      <c r="F6" s="2439"/>
      <c r="G6" s="1529" t="s">
        <v>1112</v>
      </c>
      <c r="H6" s="45" t="s">
        <v>1113</v>
      </c>
      <c r="I6" s="2435" t="e">
        <f>ROUND(F31/D31,2)</f>
        <v>#DIV/0!</v>
      </c>
      <c r="J6" s="2439"/>
      <c r="K6" s="2439"/>
      <c r="L6" s="2439"/>
      <c r="M6" s="2439"/>
      <c r="N6" s="2439"/>
      <c r="O6" s="2439"/>
      <c r="P6" s="2439"/>
    </row>
    <row r="7" spans="1:16" ht="15.75" thickBot="1">
      <c r="A7" s="3229"/>
      <c r="B7" s="3230"/>
      <c r="C7" s="3231"/>
      <c r="D7" s="1524" t="s">
        <v>1107</v>
      </c>
      <c r="E7" s="1528" t="s">
        <v>1114</v>
      </c>
      <c r="F7" s="2439"/>
      <c r="G7" s="2436" t="s">
        <v>1115</v>
      </c>
      <c r="H7" s="95"/>
      <c r="I7" s="2437">
        <v>1.5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41.09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41.09</v>
      </c>
      <c r="F16" s="2439"/>
      <c r="G16" s="2439"/>
      <c r="H16" s="1531" t="s">
        <v>1135</v>
      </c>
      <c r="I16" s="1532"/>
      <c r="J16" s="1071"/>
      <c r="K16" s="3226" t="s">
        <v>1135</v>
      </c>
      <c r="L16" s="3227"/>
      <c r="M16" s="3227"/>
      <c r="N16" s="3227"/>
      <c r="O16" s="3227"/>
      <c r="P16" s="3228"/>
    </row>
    <row r="17" spans="1:19" ht="15">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3394</v>
      </c>
      <c r="D19" s="43">
        <f>ROUND($D$3*E19/$E$3,2)</f>
        <v>0</v>
      </c>
      <c r="E19" s="51">
        <f t="shared" ref="E19:E26" si="1">SUM(F19:G19)</f>
        <v>41.09</v>
      </c>
      <c r="F19" s="2558">
        <f>'数据-基础表'!I13</f>
        <v>41.09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41.09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41.09</v>
      </c>
      <c r="F27" s="1072">
        <f>IF(SUM(F19:F26)=E8,SUM(F19:F26),"地上面积有误")</f>
        <v>41.09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41.09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41.09</v>
      </c>
      <c r="F31" s="644">
        <f>F27+F30</f>
        <v>41.09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56055</v>
      </c>
      <c r="F6" s="61">
        <f>SUMIF(项目基本情况!C$12:I$12,C6,项目基本情况!C$15:I$15)</f>
        <v>28.52</v>
      </c>
      <c r="G6" s="62">
        <f>IF(ISERROR(ROUND(POWER(1+H6,D6-F6)*(POWER(1+H6,F6)-1)/(POWER(1+H6,D6)-1),3)),0,ROUND(POWER(1+H6,D6-F6)*(POWER(1+H6,F6)-1)/(POWER(1+H6,D6)-1),3))</f>
        <v>0.82299999999999995</v>
      </c>
      <c r="H6" s="691">
        <v>0.05</v>
      </c>
      <c r="I6" s="691">
        <v>0.06</v>
      </c>
      <c r="J6" s="63">
        <v>0.06</v>
      </c>
      <c r="K6" s="970">
        <f>SUMIF('数据-汇总表'!C$19:C$33,A6,'数据-汇总表'!E$19:E$33)</f>
        <v>41.09</v>
      </c>
      <c r="L6" s="692">
        <v>4000</v>
      </c>
      <c r="M6" s="64">
        <f t="shared" ref="M6:M14" si="0">ROUND(K6*L6/10000,0)</f>
        <v>16</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'比较法-办公'!C49</f>
        <v>6.6</v>
      </c>
      <c r="V6" s="67">
        <v>0.02</v>
      </c>
      <c r="W6" s="67">
        <v>0.15</v>
      </c>
      <c r="X6" s="979"/>
      <c r="Y6" s="68">
        <f>N6</f>
        <v>0.75</v>
      </c>
      <c r="Z6" s="69"/>
      <c r="AA6" s="63"/>
      <c r="AB6" s="63"/>
      <c r="AC6" s="979"/>
      <c r="AD6" s="70"/>
      <c r="AE6" s="980">
        <f ca="1">IF(AN6="",0,SUMIF(INDIRECT("'"&amp;AN6&amp;"'"&amp;"!E:E"),$AE$5,INDIRECT("'"&amp;AN6&amp;"'"&amp;"!F:F")))</f>
        <v>28.52</v>
      </c>
      <c r="AF6" s="74"/>
      <c r="AG6" s="130">
        <f>IF(AF6="",0,AE6-AF6)</f>
        <v>0</v>
      </c>
      <c r="AH6" s="71"/>
      <c r="AI6" s="73">
        <v>365</v>
      </c>
      <c r="AJ6" s="74"/>
      <c r="AK6" s="75">
        <v>2E-3</v>
      </c>
      <c r="AL6" s="76">
        <v>1E-3</v>
      </c>
      <c r="AM6" s="77">
        <v>0.01</v>
      </c>
      <c r="AN6" s="1589" t="s">
        <v>3396</v>
      </c>
      <c r="AO6" s="50">
        <f ca="1">SUMIF(INDIRECT("'"&amp;AN6&amp;"'"&amp;"!A:A"),"总价",INDIRECT("'"&amp;AN6&amp;"'"&amp;"!B:B"))</f>
        <v>128.47999999999999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0.82299999999999995</v>
      </c>
      <c r="H16" s="84">
        <f>ROUND(SUMPRODUCT(H6:H13,K6:K13)/SUMPRODUCT((H6:H13&gt;0)*(K6:K13)),3)</f>
        <v>0.05</v>
      </c>
      <c r="I16" s="85"/>
      <c r="J16" s="85"/>
      <c r="K16" s="86">
        <f>SUM(K6:K15)</f>
        <v>41.09</v>
      </c>
      <c r="L16" s="87">
        <f>ROUND(M16*10000/SUM(K6:K14),0)</f>
        <v>3894</v>
      </c>
      <c r="M16" s="87">
        <f>SUM(M6:M14)</f>
        <v>16</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f>1-(2024-N18)/60</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2301</v>
      </c>
      <c r="D20" s="2452"/>
      <c r="E20" s="2439"/>
      <c r="F20" s="2439"/>
      <c r="G20" s="2439"/>
      <c r="H20" s="2439"/>
      <c r="I20" s="2439"/>
      <c r="J20" s="2439"/>
      <c r="K20" s="2450"/>
      <c r="L20" s="2450"/>
      <c r="M20" s="2449"/>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8218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3400</v>
      </c>
      <c r="B40" s="1015">
        <f ca="1">IF(A40="利息：取LPR",存贷款利率!G1,存贷款利率!G1+C40)</f>
        <v>4.3499999999999997E-2</v>
      </c>
      <c r="C40" s="2573">
        <v>1.2500000000000001E-2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41.09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45642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148.58969999999999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7"/>
      <c r="F10" s="3141" t="s">
        <v>3359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41.09</v>
      </c>
      <c r="C14" s="2306"/>
      <c r="D14" s="2306">
        <f ca="1">ROUND(E14*B14/10000,4)</f>
        <v>148.58969999999999</v>
      </c>
      <c r="E14" s="2306">
        <f ca="1">结果表!G20</f>
        <v>36162</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2.75">
      <c r="A3" s="3278" t="s">
        <v>1264</v>
      </c>
      <c r="B3" s="3279"/>
      <c r="C3" s="3279"/>
      <c r="D3" s="3279"/>
      <c r="E3" s="3279"/>
      <c r="F3" s="3279"/>
      <c r="G3" s="3279"/>
      <c r="H3" s="3279"/>
      <c r="I3" s="3279"/>
    </row>
    <row r="4" spans="1:12" ht="14.25">
      <c r="A4" s="1624" t="s">
        <v>1265</v>
      </c>
      <c r="B4" s="1625" t="s">
        <v>1266</v>
      </c>
      <c r="C4" s="1626" t="s">
        <v>3406</v>
      </c>
      <c r="D4" s="1626" t="s">
        <v>3396</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1268</v>
      </c>
      <c r="B5" s="3241">
        <v>25</v>
      </c>
      <c r="C5" s="3257"/>
      <c r="D5" s="3277"/>
      <c r="E5" s="123" t="s">
        <v>1269</v>
      </c>
      <c r="F5" s="1627"/>
      <c r="G5" s="1627"/>
      <c r="H5" s="1627"/>
      <c r="I5" s="1281"/>
    </row>
    <row r="6" spans="1:12" ht="12.75">
      <c r="A6" s="3254"/>
      <c r="B6" s="3241"/>
      <c r="C6" s="3258"/>
      <c r="D6" s="3277"/>
      <c r="E6" s="123" t="s">
        <v>1270</v>
      </c>
      <c r="F6" s="1627"/>
      <c r="G6" s="1627"/>
      <c r="H6" s="1627"/>
      <c r="I6" s="1281"/>
    </row>
    <row r="7" spans="1:12" ht="12.75">
      <c r="A7" s="3254"/>
      <c r="B7" s="3241"/>
      <c r="C7" s="3259"/>
      <c r="D7" s="3277"/>
      <c r="E7" s="123" t="s">
        <v>1271</v>
      </c>
      <c r="F7" s="1627"/>
      <c r="G7" s="1627"/>
      <c r="H7" s="1627"/>
      <c r="I7" s="1281"/>
    </row>
    <row r="8" spans="1:12" ht="12.75">
      <c r="A8" s="3254" t="s">
        <v>1272</v>
      </c>
      <c r="B8" s="3241">
        <v>15</v>
      </c>
      <c r="C8" s="3257"/>
      <c r="D8" s="3277"/>
      <c r="E8" s="123" t="s">
        <v>1273</v>
      </c>
      <c r="F8" s="1627"/>
      <c r="G8" s="1627"/>
      <c r="H8" s="1627"/>
      <c r="I8" s="1281"/>
    </row>
    <row r="9" spans="1:12" ht="12.75">
      <c r="A9" s="3254"/>
      <c r="B9" s="3241"/>
      <c r="C9" s="3259"/>
      <c r="D9" s="3277"/>
      <c r="E9" s="123" t="s">
        <v>1274</v>
      </c>
      <c r="F9" s="1627"/>
      <c r="G9" s="1627"/>
      <c r="H9" s="1627"/>
      <c r="I9" s="1281"/>
    </row>
    <row r="10" spans="1:12" ht="12.75">
      <c r="A10" s="3254" t="s">
        <v>1275</v>
      </c>
      <c r="B10" s="3241">
        <v>15</v>
      </c>
      <c r="C10" s="3257"/>
      <c r="D10" s="3277"/>
      <c r="E10" s="123" t="s">
        <v>1276</v>
      </c>
      <c r="F10" s="1627"/>
      <c r="G10" s="1627"/>
      <c r="H10" s="1627"/>
      <c r="I10" s="1281"/>
    </row>
    <row r="11" spans="1:12" ht="12.75">
      <c r="A11" s="3254"/>
      <c r="B11" s="3241"/>
      <c r="C11" s="3259"/>
      <c r="D11" s="3277"/>
      <c r="E11" s="123" t="s">
        <v>1277</v>
      </c>
      <c r="F11" s="1627"/>
      <c r="G11" s="1627"/>
      <c r="H11" s="1627"/>
      <c r="I11" s="1281"/>
    </row>
    <row r="12" spans="1:12" ht="12.75">
      <c r="A12" s="3254" t="s">
        <v>1278</v>
      </c>
      <c r="B12" s="3241">
        <v>15</v>
      </c>
      <c r="C12" s="3257"/>
      <c r="D12" s="3277"/>
      <c r="E12" s="123" t="s">
        <v>1279</v>
      </c>
      <c r="F12" s="1627"/>
      <c r="G12" s="1627"/>
      <c r="H12" s="1627"/>
      <c r="I12" s="1281"/>
    </row>
    <row r="13" spans="1:12" ht="12.75">
      <c r="A13" s="3254"/>
      <c r="B13" s="3241"/>
      <c r="C13" s="3259"/>
      <c r="D13" s="3277"/>
      <c r="E13" s="123" t="s">
        <v>1280</v>
      </c>
      <c r="F13" s="1627"/>
      <c r="G13" s="1627"/>
      <c r="H13" s="1627"/>
      <c r="I13" s="1281"/>
    </row>
    <row r="14" spans="1:12" ht="12.75">
      <c r="A14" s="3254" t="s">
        <v>1281</v>
      </c>
      <c r="B14" s="3241">
        <v>30</v>
      </c>
      <c r="C14" s="3257">
        <v>4</v>
      </c>
      <c r="D14" s="3277">
        <f>10-C14</f>
        <v>6</v>
      </c>
      <c r="E14" s="123" t="s">
        <v>1282</v>
      </c>
      <c r="F14" s="1627"/>
      <c r="G14" s="1627"/>
      <c r="H14" s="1627"/>
      <c r="I14" s="1281"/>
    </row>
    <row r="15" spans="1:12" ht="12.75">
      <c r="A15" s="3254"/>
      <c r="B15" s="3241"/>
      <c r="C15" s="3258"/>
      <c r="D15" s="3277"/>
      <c r="E15" s="123" t="s">
        <v>1283</v>
      </c>
      <c r="F15" s="1627"/>
      <c r="G15" s="1627"/>
      <c r="H15" s="1627"/>
      <c r="I15" s="1281"/>
    </row>
    <row r="16" spans="1:12" ht="12.75">
      <c r="A16" s="3254"/>
      <c r="B16" s="3241"/>
      <c r="C16" s="3259"/>
      <c r="D16" s="3277"/>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4" t="s">
        <v>2131</v>
      </c>
      <c r="F18" s="3265"/>
      <c r="G18" s="3265"/>
      <c r="H18" s="3265"/>
      <c r="I18" s="3265"/>
      <c r="K18" s="294" t="s">
        <v>1289</v>
      </c>
      <c r="L18" s="294">
        <f>IF(C1="",'数据-汇总表'!E3,SUMIF(项目类型,C1,'数据-汇总表'!E17:E26)+SUMIF(项目类型,C1,'数据-汇总表'!I17:I26))</f>
        <v>41.09</v>
      </c>
      <c r="M18" s="294">
        <f>IF(C1="",'数据-汇总表'!E3,SUMIF(项目类型,C1,'数据-汇总表'!E17:E26))</f>
        <v>41.09</v>
      </c>
    </row>
    <row r="19" spans="1:36" ht="15">
      <c r="A19" s="1630" t="s">
        <v>1290</v>
      </c>
      <c r="B19" s="1631" t="s">
        <v>1291</v>
      </c>
      <c r="C19" s="126">
        <f ca="1">SUMIF(INDIRECT("'"&amp;C4&amp;"'"&amp;"!A:A"),结果表!B19,INDIRECT("'"&amp;C4&amp;"'"&amp;"!B:B"))</f>
        <v>178.74789999999999</v>
      </c>
      <c r="D19" s="127">
        <f ca="1">SUMIF(INDIRECT("'"&amp;D4&amp;"'"&amp;"!A:A"),结果表!B19,INDIRECT("'"&amp;D4&amp;"'"&amp;"!B:B"))</f>
        <v>128.47999999999999</v>
      </c>
      <c r="E19" s="1630" t="s">
        <v>1292</v>
      </c>
      <c r="F19" s="1631" t="s">
        <v>1291</v>
      </c>
      <c r="G19" s="128">
        <f ca="1">ROUND(C19*$C$18+D19*$D$18,0)</f>
        <v>149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43502</v>
      </c>
      <c r="D20" s="130">
        <f ca="1">SUMIF(INDIRECT("'"&amp;D4&amp;"'"&amp;"!A:A"),结果表!B20,INDIRECT("'"&amp;D4&amp;"'"&amp;"!B:B"))</f>
        <v>31268</v>
      </c>
      <c r="E20" s="1633"/>
      <c r="F20" s="43" t="s">
        <v>1295</v>
      </c>
      <c r="G20" s="131">
        <f ca="1">ROUND(C20*$C$18+D20*$D$18,0)</f>
        <v>36162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0.39125077833125776</v>
      </c>
      <c r="E22" s="121"/>
      <c r="F22" s="121"/>
      <c r="G22" s="121">
        <f ca="1">ROUND(G20*系统读取表!B14,0)</f>
        <v>1485897</v>
      </c>
      <c r="H22" s="121"/>
      <c r="I22" s="121"/>
    </row>
    <row r="23" spans="1:36" ht="13.5" thickBot="1">
      <c r="A23" s="646"/>
      <c r="B23" s="646"/>
      <c r="C23" s="646"/>
      <c r="D23" s="646"/>
      <c r="E23" s="121"/>
      <c r="F23" s="121"/>
      <c r="G23" s="121"/>
      <c r="H23" s="121"/>
      <c r="I23" s="121"/>
    </row>
    <row r="24" spans="1:36" ht="14.25">
      <c r="A24" s="3248" t="s">
        <v>1299</v>
      </c>
      <c r="B24" s="1631" t="s">
        <v>1291</v>
      </c>
      <c r="C24" s="128">
        <f>IF(B30=0,0,D30)</f>
        <v>0</v>
      </c>
      <c r="D24" s="1637"/>
      <c r="E24" s="121"/>
      <c r="F24" s="121"/>
      <c r="G24" s="121"/>
      <c r="H24" s="121"/>
      <c r="I24" s="121"/>
    </row>
    <row r="25" spans="1:36" ht="14.25">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36162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8" t="s">
        <v>1312</v>
      </c>
      <c r="B36" s="1652" t="s">
        <v>1313</v>
      </c>
      <c r="C36" s="137"/>
      <c r="D36" s="1653"/>
      <c r="E36" s="1567"/>
      <c r="F36" s="1654"/>
      <c r="G36" s="121"/>
      <c r="H36" s="121"/>
      <c r="I36" s="121"/>
    </row>
    <row r="37" spans="1:15" ht="15.75" thickBot="1">
      <c r="A37" s="3269"/>
      <c r="B37" s="1555" t="s">
        <v>1314</v>
      </c>
      <c r="C37" s="139"/>
      <c r="D37" s="1071"/>
      <c r="E37" s="1071"/>
      <c r="F37" s="1654"/>
      <c r="G37" s="121"/>
      <c r="H37" s="121"/>
      <c r="I37" s="121"/>
    </row>
    <row r="38" spans="1:15" ht="15.75" thickBot="1">
      <c r="A38" s="327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t="e">
        <f ca="1">ROUND(H101*F45,0)</f>
        <v>#REF!</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45642</v>
      </c>
      <c r="N47" s="3325"/>
      <c r="O47" s="3325"/>
    </row>
    <row r="48" spans="1:15" ht="25.5">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4" t="s">
        <v>1340</v>
      </c>
      <c r="L48" s="3304"/>
      <c r="M48" s="3326" t="e">
        <f ca="1">H101</f>
        <v>#REF!</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45"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t="e">
        <f ca="1">ROUND(D45*'数据-取费表'!B41/(1+'数据-取费表'!C42),0)</f>
        <v>#REF!</v>
      </c>
      <c r="E52" s="1256" t="s">
        <v>1354</v>
      </c>
      <c r="F52" s="2340">
        <f>'数据-取费表'!B41</f>
        <v>5.6000000000000001E-2</v>
      </c>
      <c r="G52" s="2341"/>
      <c r="H52" s="2331"/>
      <c r="I52" s="1669"/>
      <c r="J52" s="2310">
        <v>1</v>
      </c>
      <c r="K52" s="3305" t="s">
        <v>1355</v>
      </c>
      <c r="L52" s="3305"/>
      <c r="M52" s="2312" t="b">
        <f>D48</f>
        <v>0</v>
      </c>
      <c r="N52" s="2310" t="str">
        <f>E48</f>
        <v>销售额×税（费）率</v>
      </c>
      <c r="O52" s="2313">
        <f>F48</f>
        <v>5.6000000000000001E-2</v>
      </c>
    </row>
    <row r="53" spans="1:35" ht="12" customHeight="1">
      <c r="A53" s="2153" t="s">
        <v>1356</v>
      </c>
      <c r="B53" s="3266" t="s">
        <v>2291</v>
      </c>
      <c r="C53" s="3267"/>
      <c r="D53" s="1024" t="e">
        <f ca="1">ROUND(D45*'数据-取费表'!B41/(1+'数据-取费表'!C42),0)</f>
        <v>#REF!</v>
      </c>
      <c r="E53" s="1256" t="s">
        <v>1354</v>
      </c>
      <c r="F53" s="2340">
        <f>'数据-取费表'!B41</f>
        <v>5.6000000000000001E-2</v>
      </c>
      <c r="G53" s="2341"/>
      <c r="H53" s="2331"/>
      <c r="I53" s="1669"/>
      <c r="J53" s="2310">
        <v>2</v>
      </c>
      <c r="K53" s="3305" t="s">
        <v>1357</v>
      </c>
      <c r="L53" s="3305"/>
      <c r="M53" s="2312" t="e">
        <f t="shared" ref="M53:O54" ca="1" si="0">D55</f>
        <v>#REF!</v>
      </c>
      <c r="N53" s="2310" t="str">
        <f t="shared" si="0"/>
        <v>销售额×税（费）率</v>
      </c>
      <c r="O53" s="2313" t="str">
        <f t="shared" si="0"/>
        <v>免征</v>
      </c>
    </row>
    <row r="54" spans="1:35" ht="12" customHeight="1">
      <c r="A54" s="2153" t="s">
        <v>1358</v>
      </c>
      <c r="B54" s="3266" t="s">
        <v>2292</v>
      </c>
      <c r="C54" s="3267"/>
      <c r="D54" s="1024" t="e">
        <f ca="1">C68</f>
        <v>#REF!</v>
      </c>
      <c r="E54" s="319" t="s">
        <v>1359</v>
      </c>
      <c r="F54" s="2340">
        <f>'数据-取费表'!B41</f>
        <v>5.6000000000000001E-2</v>
      </c>
      <c r="G54" s="2341"/>
      <c r="H54" s="2342"/>
      <c r="I54" s="1669"/>
      <c r="J54" s="2310">
        <v>3</v>
      </c>
      <c r="K54" s="3305" t="s">
        <v>1360</v>
      </c>
      <c r="L54" s="3305"/>
      <c r="M54" s="2312" t="e">
        <f t="shared" ca="1" si="0"/>
        <v>#REF!</v>
      </c>
      <c r="N54" s="2310" t="str">
        <f t="shared" si="0"/>
        <v>增值额×税（费）率</v>
      </c>
      <c r="O54" s="2314" t="str">
        <f t="shared" si="0"/>
        <v>免征</v>
      </c>
    </row>
    <row r="55" spans="1:35" ht="24" customHeight="1">
      <c r="A55" s="3255" t="s">
        <v>1361</v>
      </c>
      <c r="B55" s="3256"/>
      <c r="C55" s="3256"/>
      <c r="D55" s="12" t="e">
        <f ca="1">IF(H55="个人住宅",0,ROUND(D45*I55,0))</f>
        <v>#REF!</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t="e">
        <f ca="1">D59</f>
        <v>#REF!</v>
      </c>
      <c r="N55" s="1883" t="str">
        <f>E59</f>
        <v>差额计税</v>
      </c>
      <c r="O55" s="2316">
        <f>F59</f>
        <v>0.01</v>
      </c>
    </row>
    <row r="56" spans="1:35" ht="24.75">
      <c r="A56" s="3255" t="s">
        <v>1363</v>
      </c>
      <c r="B56" s="3256"/>
      <c r="C56" s="3256"/>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2.75">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0</v>
      </c>
      <c r="O57" s="2320"/>
      <c r="P57" s="2465" t="e">
        <f ca="1">N57/M49</f>
        <v>#VALUE!</v>
      </c>
    </row>
    <row r="58" spans="1:35" ht="24.75">
      <c r="A58" s="2153" t="s">
        <v>1352</v>
      </c>
      <c r="B58" s="3266" t="s">
        <v>1369</v>
      </c>
      <c r="C58" s="3240"/>
      <c r="D58" s="12" t="e">
        <f ca="1">IF(H58="转让取得",C81,C97)</f>
        <v>#REF!</v>
      </c>
      <c r="E58" s="1256" t="s">
        <v>1364</v>
      </c>
      <c r="F58" s="294" t="s">
        <v>28</v>
      </c>
      <c r="G58" s="2341"/>
      <c r="H58" s="2344"/>
      <c r="I58" s="1670"/>
      <c r="J58" s="3305"/>
      <c r="K58" s="3305"/>
      <c r="L58" s="2317" t="s">
        <v>1370</v>
      </c>
      <c r="M58" s="2321"/>
      <c r="N58" s="2322" t="str">
        <f ca="1">NUMBERSTRING(INT(N57*10000),2)&amp;"元整"</f>
        <v>零元整</v>
      </c>
      <c r="O58" s="2323"/>
    </row>
    <row r="59" spans="1:35" ht="24.75" thickBot="1">
      <c r="A59" s="3308" t="s">
        <v>1371</v>
      </c>
      <c r="B59" s="3309"/>
      <c r="C59" s="330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t="e">
        <f ca="1">M49-N57</f>
        <v>#VALUE!</v>
      </c>
      <c r="O59" s="2326"/>
    </row>
    <row r="60" spans="1:35" ht="12" customHeight="1">
      <c r="A60" s="1671"/>
      <c r="B60" s="646"/>
      <c r="C60" s="646"/>
      <c r="D60" s="646"/>
      <c r="E60" s="1466"/>
      <c r="F60" s="1670"/>
      <c r="G60" s="1670"/>
      <c r="H60" s="151"/>
      <c r="I60" s="121"/>
      <c r="J60" s="3307"/>
      <c r="K60" s="3305"/>
      <c r="L60" s="2317" t="s">
        <v>1370</v>
      </c>
      <c r="M60" s="2321"/>
      <c r="N60" s="2322" t="e">
        <f ca="1">NUMBERSTRING(INT(N59*10000),2)&amp;"元整"</f>
        <v>#VALUE!</v>
      </c>
      <c r="O60" s="2323"/>
    </row>
    <row r="61" spans="1:35" ht="13.5" thickBot="1">
      <c r="A61" s="3253" t="s">
        <v>1373</v>
      </c>
      <c r="B61" s="3253"/>
      <c r="C61" s="3253"/>
      <c r="D61" s="3253"/>
      <c r="E61" s="3253"/>
      <c r="F61" s="1670"/>
      <c r="G61" s="1670"/>
      <c r="H61" s="151"/>
      <c r="I61" s="121"/>
      <c r="J61" s="2310">
        <f>J59+1</f>
        <v>7</v>
      </c>
      <c r="K61" s="3305" t="s">
        <v>1374</v>
      </c>
      <c r="L61" s="3305"/>
      <c r="M61" s="2327"/>
      <c r="N61" s="2328" t="e">
        <f ca="1">ROUND(N59*10000/'数据-汇总表'!E3,0)</f>
        <v>#VALUE!</v>
      </c>
      <c r="O61" s="2329"/>
    </row>
    <row r="62" spans="1:35" ht="12.75">
      <c r="A62" s="3271" t="s">
        <v>1375</v>
      </c>
      <c r="B62" s="327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5"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成本法 (元)</v>
      </c>
      <c r="D101" s="2372" t="str">
        <f>D4</f>
        <v>收益法 (元)</v>
      </c>
      <c r="E101" s="3327" t="s">
        <v>1431</v>
      </c>
      <c r="F101" s="3284"/>
      <c r="G101" s="1687" t="s">
        <v>1432</v>
      </c>
      <c r="H101" s="2381" t="e">
        <f ca="1">H118</f>
        <v>#REF!</v>
      </c>
      <c r="I101" s="121"/>
    </row>
    <row r="102" spans="1:35" ht="18.75" customHeight="1">
      <c r="A102" s="3286" t="s">
        <v>1433</v>
      </c>
      <c r="B102" s="2370" t="s">
        <v>1432</v>
      </c>
      <c r="C102" s="2371">
        <f ca="1">IF(D32="楼面单价",ROUND(C19,0),C19)</f>
        <v>178.74789999999999</v>
      </c>
      <c r="D102" s="2372">
        <f ca="1">IF(D32="楼面单价",ROUND(D19,0),D19)</f>
        <v>128.47999999999999</v>
      </c>
      <c r="E102" s="3327"/>
      <c r="F102" s="3284"/>
      <c r="G102" s="1687" t="s">
        <v>1434</v>
      </c>
      <c r="H102" s="2341" t="e">
        <f ca="1">I118</f>
        <v>#REF!</v>
      </c>
      <c r="I102" s="121"/>
    </row>
    <row r="103" spans="1:35" ht="42.75" customHeight="1">
      <c r="A103" s="3286"/>
      <c r="B103" s="2370" t="s">
        <v>1434</v>
      </c>
      <c r="C103" s="2373">
        <f ca="1">C20</f>
        <v>43502</v>
      </c>
      <c r="D103" s="2374">
        <f ca="1">D20</f>
        <v>31268</v>
      </c>
      <c r="E103" s="3321" t="s">
        <v>1435</v>
      </c>
      <c r="F103" s="3322"/>
      <c r="G103" s="1688" t="s">
        <v>1436</v>
      </c>
      <c r="H103" s="2381">
        <f>IF(D36="正常操作",H104+H105+H106,H105+H106)</f>
        <v>0</v>
      </c>
      <c r="I103" s="121"/>
    </row>
    <row r="104" spans="1:35" ht="18.75" customHeight="1">
      <c r="A104" s="32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t="e">
        <f ca="1">IF(E107="——","——",H101-H103)</f>
        <v>#REF!</v>
      </c>
      <c r="I107" s="121"/>
    </row>
    <row r="108" spans="1:35" ht="18.75" customHeight="1">
      <c r="A108" s="121"/>
      <c r="B108" s="121"/>
      <c r="C108" s="121"/>
      <c r="D108" s="121"/>
      <c r="E108" s="3283"/>
      <c r="F108" s="3284"/>
      <c r="G108" s="1687" t="s">
        <v>1434</v>
      </c>
      <c r="H108" s="2341">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41.09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4" t="s">
        <v>1452</v>
      </c>
      <c r="B119" s="3254"/>
      <c r="C119" s="3254"/>
      <c r="D119" s="3294" t="e">
        <f ca="1">NUMBERSTRING(INT(D118*10000),2)&amp;"元整"</f>
        <v>#REF!</v>
      </c>
      <c r="E119" s="3296"/>
      <c r="F119" s="3294" t="e">
        <f ca="1">NUMBERSTRING(INT(F118*10000),2)&amp;"元整"</f>
        <v>#REF!</v>
      </c>
      <c r="G119" s="3296"/>
      <c r="H119" s="3294" t="e">
        <f ca="1">NUMBERSTRING(INT(H118*10000),2)&amp;"元整"</f>
        <v>#REF!</v>
      </c>
      <c r="I119" s="3296"/>
    </row>
    <row r="120" spans="1:27" ht="18.75" customHeight="1">
      <c r="A120" s="3318" t="str">
        <f>IF(项目基本情况!B9="房地产市场价值","",MID(E103,3,LEN(E103)-2))</f>
        <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
      </c>
      <c r="B122" s="3285"/>
      <c r="C122" s="3285"/>
      <c r="D122" s="3318" t="e">
        <f ca="1">H107</f>
        <v>#REF!</v>
      </c>
      <c r="E122" s="3319"/>
      <c r="F122" s="3319"/>
      <c r="G122" s="3319"/>
      <c r="H122" s="3319"/>
      <c r="I122" s="3320"/>
      <c r="AA122" s="684"/>
    </row>
    <row r="123" spans="1:27" ht="18.75" customHeight="1">
      <c r="A123" s="3254" t="s">
        <v>1452</v>
      </c>
      <c r="B123" s="3254"/>
      <c r="C123" s="3254"/>
      <c r="D123" s="3294" t="e">
        <f ca="1">NUMBERSTRING(INT(D122*10000),2)&amp;"元整"</f>
        <v>#REF!</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10849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2640302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8218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8218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41.09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41.09</v>
      </c>
      <c r="E19" s="203">
        <f>'数据-取费表'!B31</f>
        <v>200</v>
      </c>
      <c r="F19" s="223"/>
      <c r="G19" s="1714"/>
    </row>
    <row r="20" spans="1:7" s="206" customFormat="1" ht="13.5" customHeight="1">
      <c r="A20" s="247" t="s">
        <v>1493</v>
      </c>
      <c r="B20" s="202" t="s">
        <v>1494</v>
      </c>
      <c r="C20" s="224">
        <f ca="1">ROUND((C5+C19)*F20,0)</f>
        <v>164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361</v>
      </c>
      <c r="D22" s="227">
        <f ca="1">C26</f>
        <v>4.0000000000000002E-4</v>
      </c>
      <c r="E22" s="228" t="s">
        <v>1498</v>
      </c>
      <c r="F22" s="229">
        <f ca="1">'数据-取费表'!B40</f>
        <v>4.3499999999999997E-2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357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1257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1257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10832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41.09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4.0000000000000002E-4</v>
      </c>
      <c r="D44" s="230"/>
      <c r="E44" s="230"/>
      <c r="F44" s="231"/>
      <c r="G44" s="3336"/>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10849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北京市房地产市场价值预评估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康正预评字2024-1-1024号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9366</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2279387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-8217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41.09</v>
      </c>
      <c r="E20" s="21">
        <f>'数据-取费表'!B28</f>
        <v>200</v>
      </c>
      <c r="F20" s="756"/>
      <c r="G20" s="12"/>
      <c r="H20" s="761"/>
      <c r="I20" s="761"/>
      <c r="J20" s="761"/>
      <c r="K20" s="762"/>
    </row>
    <row r="21" spans="1:33" s="755" customFormat="1" ht="13.5" customHeight="1">
      <c r="A21" s="744" t="s">
        <v>357</v>
      </c>
      <c r="B21" s="765" t="s">
        <v>1628</v>
      </c>
      <c r="C21" s="766">
        <f ca="1">C16+C17+C18</f>
        <v>-8217</v>
      </c>
      <c r="D21" s="767"/>
      <c r="E21" s="273"/>
      <c r="F21" s="273"/>
      <c r="G21" s="123" t="s">
        <v>1629</v>
      </c>
      <c r="H21" s="759"/>
      <c r="I21" s="759"/>
      <c r="J21" s="759"/>
      <c r="K21" s="760"/>
    </row>
    <row r="22" spans="1:33" s="755" customFormat="1" ht="13.5" customHeight="1">
      <c r="A22" s="744" t="s">
        <v>1601</v>
      </c>
      <c r="B22" s="765" t="s">
        <v>1630</v>
      </c>
      <c r="C22" s="766">
        <f ca="1">ROUND(C21*F22,0)</f>
        <v>-164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4.3499999999999997E-2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9366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28.52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128.47999999999999</v>
      </c>
      <c r="C2" s="1289" t="s">
        <v>879</v>
      </c>
      <c r="D2" s="1375">
        <f ca="1">C40+J29+L46</f>
        <v>1284800</v>
      </c>
      <c r="E2" s="1295" t="s">
        <v>880</v>
      </c>
      <c r="F2" s="1296"/>
      <c r="G2" s="2479"/>
      <c r="H2" s="2469"/>
      <c r="I2" s="2469"/>
      <c r="J2" s="2469"/>
      <c r="K2" s="2470"/>
      <c r="L2" s="2469"/>
      <c r="M2" s="2469"/>
    </row>
    <row r="3" spans="1:37" ht="18" customHeight="1" thickBot="1">
      <c r="A3" s="1297" t="s">
        <v>881</v>
      </c>
      <c r="B3" s="1298">
        <f ca="1">IF(ISERROR(D2/F43),0,ROUND(D2/F43,0))</f>
        <v>31268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84243</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84138</v>
      </c>
      <c r="D6" s="147" t="s">
        <v>2106</v>
      </c>
      <c r="E6" s="294" t="s">
        <v>696</v>
      </c>
      <c r="F6" s="295">
        <f ca="1">INDIRECT("'数据-取费表'!u"&amp;$G$1)</f>
        <v>6.6</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41.09</v>
      </c>
      <c r="G7" s="1292"/>
      <c r="H7" s="296"/>
      <c r="I7" s="3340"/>
      <c r="J7" s="298"/>
      <c r="K7" s="299"/>
      <c r="L7" s="294" t="s">
        <v>697</v>
      </c>
      <c r="M7" s="295">
        <f ca="1">F7</f>
        <v>41.09</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105</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175527</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164360</v>
      </c>
      <c r="D14" s="1257" t="s">
        <v>708</v>
      </c>
      <c r="E14" s="1255"/>
      <c r="F14" s="311"/>
      <c r="G14" s="1292"/>
      <c r="H14" s="928" t="s">
        <v>398</v>
      </c>
      <c r="I14" s="294" t="s">
        <v>709</v>
      </c>
      <c r="J14" s="21">
        <f ca="1">C29</f>
        <v>234036</v>
      </c>
      <c r="K14" s="12"/>
      <c r="L14" s="759"/>
      <c r="M14" s="760"/>
    </row>
    <row r="15" spans="1:37" s="1304" customFormat="1" ht="18" customHeight="1" thickBot="1">
      <c r="A15" s="928" t="s">
        <v>399</v>
      </c>
      <c r="B15" s="294" t="s">
        <v>710</v>
      </c>
      <c r="C15" s="21">
        <f ca="1">ROUND(C14*F15,0)</f>
        <v>4931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468</v>
      </c>
      <c r="K16" s="1024" t="s">
        <v>715</v>
      </c>
      <c r="L16" s="1025"/>
      <c r="M16" s="1009"/>
    </row>
    <row r="17" spans="1:37" s="1304" customFormat="1" ht="18" customHeight="1">
      <c r="A17" s="928" t="s">
        <v>681</v>
      </c>
      <c r="B17" s="294" t="s">
        <v>716</v>
      </c>
      <c r="C17" s="21">
        <f ca="1">ROUND(F17*(F43+INDIRECT("'数据-取费表'!S"&amp;$G$1)),0)</f>
        <v>8218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3287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180796</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c r="P19" s="1292">
        <f ca="1">C6/12</f>
        <v>7011.5</v>
      </c>
    </row>
    <row r="20" spans="1:37" s="1304" customFormat="1" ht="18" customHeight="1">
      <c r="A20" s="928" t="s">
        <v>402</v>
      </c>
      <c r="B20" s="294" t="s">
        <v>728</v>
      </c>
      <c r="C20" s="21">
        <f ca="1">ROUND(C19*F20,0)</f>
        <v>3616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4011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-468</v>
      </c>
      <c r="K25" s="1032" t="s">
        <v>753</v>
      </c>
      <c r="L25" s="1033"/>
      <c r="M25" s="1034"/>
    </row>
    <row r="26" spans="1:37" ht="18" customHeight="1">
      <c r="A26" s="928" t="s">
        <v>397</v>
      </c>
      <c r="B26" s="294" t="s">
        <v>754</v>
      </c>
      <c r="C26" s="21">
        <f ca="1">ROUND((C19+C20)*F26,0)</f>
        <v>27662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234036</v>
      </c>
      <c r="D29" s="1029"/>
      <c r="E29" s="1027"/>
      <c r="F29" s="1030"/>
      <c r="G29" s="1303"/>
      <c r="H29" s="325" t="s">
        <v>396</v>
      </c>
      <c r="I29" s="326" t="s">
        <v>768</v>
      </c>
      <c r="J29" s="327">
        <f ca="1">ROUND(J26/(1+F40)^F41,0)</f>
        <v>0</v>
      </c>
      <c r="K29" s="328" t="s">
        <v>769</v>
      </c>
      <c r="L29" s="329"/>
      <c r="M29" s="330">
        <f ca="1">INDIRECT("'数据-取费表'!k"&amp;$G$1)</f>
        <v>41.09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7095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5609</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468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176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842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77148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1284800</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28.52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31268</v>
      </c>
      <c r="D43" s="328" t="s">
        <v>777</v>
      </c>
      <c r="E43" s="329" t="s">
        <v>778</v>
      </c>
      <c r="F43" s="330">
        <f ca="1">INDIRECT("'数据-取费表'!k"&amp;$G$1)</f>
        <v>41.09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f ca="1">ROUND((C68-C40)/10000,4)</f>
        <v>-129.34960000000001</v>
      </c>
      <c r="D45" s="3131" t="s">
        <v>3354</v>
      </c>
      <c r="E45" s="1307"/>
      <c r="F45" s="1307"/>
      <c r="O45" s="1310" t="s">
        <v>808</v>
      </c>
      <c r="P45" s="1366"/>
      <c r="Q45" s="1366"/>
      <c r="R45" s="1366"/>
    </row>
    <row r="46" spans="1:18" s="1292" customFormat="1" ht="13.5" thickBot="1">
      <c r="A46" s="1311" t="s">
        <v>809</v>
      </c>
      <c r="C46" s="1312">
        <f ca="1">ROUND(C45,0)</f>
        <v>-129</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50</v>
      </c>
      <c r="M47" s="1288" t="str">
        <f>IF(ISNUMBER(FIND("住宅",C1)),"住宅","非住宅")</f>
        <v>非住宅</v>
      </c>
      <c r="O47" s="1325" t="s">
        <v>403</v>
      </c>
      <c r="P47" s="1326" t="s">
        <v>817</v>
      </c>
      <c r="Q47" s="1327">
        <f ca="1">C40+J29</f>
        <v>1284800</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28.52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2006</v>
      </c>
      <c r="K49" s="1330" t="s">
        <v>824</v>
      </c>
      <c r="L49" s="1333"/>
      <c r="O49" s="1334" t="s">
        <v>405</v>
      </c>
      <c r="P49" s="1326" t="s">
        <v>825</v>
      </c>
      <c r="Q49" s="1327">
        <f ca="1">C29</f>
        <v>234036</v>
      </c>
      <c r="R49" s="1327" t="s">
        <v>818</v>
      </c>
    </row>
    <row r="50" spans="1:18" s="1292" customFormat="1" ht="13.5" thickBot="1">
      <c r="A50" s="922"/>
      <c r="B50" s="925"/>
      <c r="C50" s="926"/>
      <c r="D50" s="899"/>
      <c r="E50" s="993" t="s">
        <v>697</v>
      </c>
      <c r="F50" s="994">
        <f ca="1">F7</f>
        <v>41.09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1160671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28.52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28.52</v>
      </c>
      <c r="K53" s="3337" t="s">
        <v>837</v>
      </c>
      <c r="L53" s="3338"/>
      <c r="O53" s="1325" t="s">
        <v>409</v>
      </c>
      <c r="P53" s="1326" t="s">
        <v>838</v>
      </c>
      <c r="Q53" s="1327">
        <f ca="1">Q47+Q48</f>
        <v>1284800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175527</v>
      </c>
      <c r="D56" s="1352"/>
      <c r="E56" s="1353"/>
      <c r="F56" s="1345"/>
      <c r="I56" s="1354" t="s">
        <v>842</v>
      </c>
      <c r="J56" s="1355" t="s">
        <v>3392</v>
      </c>
      <c r="K56" s="1328" t="s">
        <v>843</v>
      </c>
      <c r="L56" s="1331" t="str">
        <f ca="1">IF(L48&lt;J51,"——",L48-J51)</f>
        <v>——</v>
      </c>
      <c r="O56" s="1325" t="s">
        <v>403</v>
      </c>
      <c r="P56" s="1326" t="s">
        <v>817</v>
      </c>
      <c r="Q56" s="1327">
        <f ca="1">C40+J29</f>
        <v>1284800</v>
      </c>
      <c r="R56" s="1327" t="s">
        <v>818</v>
      </c>
    </row>
    <row r="57" spans="1:18" s="1292" customFormat="1" ht="24.75" thickBot="1">
      <c r="A57" s="1356"/>
      <c r="B57" s="896" t="s">
        <v>767</v>
      </c>
      <c r="C57" s="230">
        <f ca="1">C29</f>
        <v>234036</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1284800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176</v>
      </c>
      <c r="D65" s="910" t="s">
        <v>743</v>
      </c>
      <c r="E65" s="896" t="s">
        <v>744</v>
      </c>
      <c r="F65" s="321">
        <f t="shared" ca="1" si="0"/>
        <v>1E-3</v>
      </c>
      <c r="I65" s="1367" t="s">
        <v>867</v>
      </c>
      <c r="J65" s="610">
        <v>40</v>
      </c>
      <c r="K65" s="610">
        <v>30</v>
      </c>
      <c r="L65" s="610">
        <v>50</v>
      </c>
      <c r="M65" s="1369">
        <v>0.02</v>
      </c>
      <c r="O65" s="1325" t="s">
        <v>403</v>
      </c>
      <c r="P65" s="1326" t="s">
        <v>868</v>
      </c>
      <c r="Q65" s="1327">
        <f ca="1">C40+J29</f>
        <v>1284800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-644</v>
      </c>
      <c r="D67" s="909" t="s">
        <v>753</v>
      </c>
      <c r="E67" s="914"/>
      <c r="F67" s="915"/>
      <c r="O67" s="1334" t="s">
        <v>405</v>
      </c>
      <c r="P67" s="1326" t="s">
        <v>850</v>
      </c>
      <c r="Q67" s="1370">
        <f ca="1">L51</f>
        <v>1160671</v>
      </c>
      <c r="R67" s="1327" t="s">
        <v>870</v>
      </c>
    </row>
    <row r="68" spans="1:18" s="1292" customFormat="1" ht="16.5" thickBot="1">
      <c r="A68" s="893" t="s">
        <v>395</v>
      </c>
      <c r="B68" s="894" t="s">
        <v>774</v>
      </c>
      <c r="C68" s="293">
        <f ca="1">ROUND(C67*(1-((1+F70)/(1+F68))^F69)/(F68-F70),0)</f>
        <v>-8696</v>
      </c>
      <c r="D68" s="911" t="s">
        <v>758</v>
      </c>
      <c r="E68" s="896" t="s">
        <v>759</v>
      </c>
      <c r="F68" s="304">
        <f ca="1">F40</f>
        <v>0.06</v>
      </c>
      <c r="O68" s="1334" t="s">
        <v>406</v>
      </c>
      <c r="P68" s="1371" t="s">
        <v>871</v>
      </c>
      <c r="Q68" s="1327">
        <f ca="1">ROUND(Q69-Q70*Q71,0)</f>
        <v>66616</v>
      </c>
      <c r="R68" s="1327" t="s">
        <v>414</v>
      </c>
    </row>
    <row r="69" spans="1:18" s="1292" customFormat="1" ht="13.5" thickBot="1">
      <c r="A69" s="897"/>
      <c r="B69" s="898"/>
      <c r="C69" s="298"/>
      <c r="D69" s="916" t="s">
        <v>762</v>
      </c>
      <c r="E69" s="896" t="s">
        <v>763</v>
      </c>
      <c r="F69" s="324">
        <f ca="1">F41</f>
        <v>28.52</v>
      </c>
      <c r="O69" s="1334" t="s">
        <v>411</v>
      </c>
      <c r="P69" s="1371" t="s">
        <v>872</v>
      </c>
      <c r="Q69" s="1327">
        <f ca="1">C39</f>
        <v>77148</v>
      </c>
      <c r="R69" s="1327" t="s">
        <v>818</v>
      </c>
    </row>
    <row r="70" spans="1:18" s="1292" customFormat="1" ht="13.5" thickBot="1">
      <c r="A70" s="900"/>
      <c r="B70" s="901"/>
      <c r="C70" s="302"/>
      <c r="D70" s="912"/>
      <c r="E70" s="896" t="s">
        <v>766</v>
      </c>
      <c r="F70" s="991"/>
      <c r="O70" s="1334" t="s">
        <v>412</v>
      </c>
      <c r="P70" s="1371" t="s">
        <v>873</v>
      </c>
      <c r="Q70" s="1327">
        <f ca="1">C13</f>
        <v>175527</v>
      </c>
      <c r="R70" s="1327" t="s">
        <v>818</v>
      </c>
    </row>
    <row r="71" spans="1:18" s="1292" customFormat="1" ht="13.5" thickBot="1">
      <c r="A71" s="917" t="s">
        <v>396</v>
      </c>
      <c r="B71" s="918" t="s">
        <v>776</v>
      </c>
      <c r="C71" s="327">
        <f ca="1">ROUND(C68/F71,0)</f>
        <v>-212</v>
      </c>
      <c r="D71" s="919" t="s">
        <v>777</v>
      </c>
      <c r="E71" s="920" t="s">
        <v>778</v>
      </c>
      <c r="F71" s="330">
        <f ca="1">F43</f>
        <v>41.09</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10532</v>
      </c>
      <c r="D75" s="1292"/>
      <c r="E75" s="1292"/>
      <c r="F75" s="1292"/>
      <c r="K75" s="1309"/>
      <c r="L75" s="1292"/>
      <c r="O75" s="1325" t="s">
        <v>409</v>
      </c>
      <c r="P75" s="1326" t="s">
        <v>838</v>
      </c>
      <c r="Q75" s="1327">
        <f ca="1">Q65+Q66</f>
        <v>1284800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0.86299999999999999</v>
      </c>
    </row>
    <row r="83" spans="2:3">
      <c r="B83" s="265" t="s">
        <v>803</v>
      </c>
      <c r="C83" s="266">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15" customHeight="1">
      <c r="A2" s="1293" t="s">
        <v>2316</v>
      </c>
      <c r="B2" s="2595" t="e">
        <f>IF(D2="——",C40,C40+E2)</f>
        <v>#DIV/0!</v>
      </c>
      <c r="C2" s="2596" t="s">
        <v>2317</v>
      </c>
      <c r="D2" s="3139" t="s">
        <v>3360</v>
      </c>
      <c r="E2" s="3140"/>
      <c r="F2" s="2598"/>
      <c r="G2" s="2599"/>
      <c r="H2" s="2600"/>
      <c r="I2" s="2601"/>
      <c r="J2" s="3348" t="s">
        <v>2318</v>
      </c>
      <c r="K2" s="3349"/>
      <c r="L2" s="2602" t="s">
        <v>2319</v>
      </c>
      <c r="M2" s="2602" t="s">
        <v>2320</v>
      </c>
      <c r="N2" s="2602" t="s">
        <v>2321</v>
      </c>
      <c r="O2" s="2602" t="s">
        <v>2322</v>
      </c>
      <c r="P2" s="2602" t="s">
        <v>2323</v>
      </c>
      <c r="Q2" s="2603" t="s">
        <v>2324</v>
      </c>
      <c r="R2" s="2604" t="s">
        <v>2325</v>
      </c>
      <c r="S2" s="2593"/>
      <c r="T2" s="2593"/>
      <c r="U2" s="2593"/>
      <c r="V2" s="2601"/>
    </row>
    <row r="3" spans="1:22" s="2605" customFormat="1" ht="13.15" customHeight="1">
      <c r="A3" s="2606" t="s">
        <v>2326</v>
      </c>
      <c r="B3" s="2607" t="e">
        <f>ROUND(B2*10000/B4,0)</f>
        <v>#DIV/0!</v>
      </c>
      <c r="C3" s="2596" t="s">
        <v>2327</v>
      </c>
      <c r="D3" s="2596"/>
      <c r="E3" s="2597"/>
      <c r="F3" s="2598"/>
      <c r="G3" s="2599"/>
      <c r="H3" s="2600"/>
      <c r="I3" s="2601"/>
      <c r="J3" s="3350" t="s">
        <v>2328</v>
      </c>
      <c r="K3" s="3351"/>
      <c r="L3" s="2608"/>
      <c r="M3" s="2608"/>
      <c r="N3" s="2608"/>
      <c r="O3" s="2608"/>
      <c r="P3" s="2608"/>
      <c r="Q3" s="2609"/>
      <c r="R3" s="2610">
        <f>SUM(L3:Q3)</f>
        <v>0</v>
      </c>
      <c r="S3" s="2593"/>
      <c r="T3" s="2593"/>
      <c r="U3" s="2593"/>
      <c r="V3" s="2601"/>
    </row>
    <row r="4" spans="1:22" s="2605" customFormat="1" ht="13.15" customHeight="1">
      <c r="A4" s="2611" t="s">
        <v>2329</v>
      </c>
      <c r="B4" s="2612"/>
      <c r="C4" s="2596"/>
      <c r="D4" s="2596"/>
      <c r="E4" s="2597"/>
      <c r="F4" s="2598"/>
      <c r="G4" s="2599"/>
      <c r="H4" s="2600"/>
      <c r="I4" s="2601"/>
      <c r="J4" s="3350" t="s">
        <v>2330</v>
      </c>
      <c r="K4" s="3351"/>
      <c r="L4" s="2613"/>
      <c r="M4" s="2613"/>
      <c r="N4" s="2613"/>
      <c r="O4" s="2613"/>
      <c r="P4" s="2613"/>
      <c r="Q4" s="2614"/>
      <c r="R4" s="2615">
        <f>SUM(L4:Q4)</f>
        <v>0</v>
      </c>
      <c r="S4" s="2593"/>
      <c r="T4" s="2593"/>
      <c r="U4" s="2593"/>
      <c r="V4" s="2601"/>
    </row>
    <row r="5" spans="1:22" s="2605" customFormat="1" ht="13.15"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15" customHeight="1" thickBot="1">
      <c r="A6" s="3356" t="s">
        <v>2334</v>
      </c>
      <c r="B6" s="3357"/>
      <c r="C6" s="3358"/>
      <c r="D6" s="2622"/>
      <c r="E6" s="2623"/>
      <c r="F6" s="2624"/>
      <c r="G6" s="2625"/>
      <c r="H6" s="2600"/>
      <c r="I6" s="2601"/>
      <c r="J6" s="3342">
        <v>1</v>
      </c>
      <c r="K6" s="3343"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15" customHeight="1">
      <c r="A7" s="2628" t="s">
        <v>2344</v>
      </c>
      <c r="B7" s="2629"/>
      <c r="C7" s="2630"/>
      <c r="D7" s="2631">
        <f>SUM(D9,D10,D11,D17,0)</f>
        <v>0</v>
      </c>
      <c r="E7" s="2632" t="e">
        <f>E9+E10+E11+E17</f>
        <v>#DIV/0!</v>
      </c>
      <c r="F7" s="2633"/>
      <c r="G7" s="2634"/>
      <c r="H7" s="2600"/>
      <c r="I7" s="2601"/>
      <c r="J7" s="3342"/>
      <c r="K7" s="3344"/>
      <c r="L7" s="2635" t="s">
        <v>2345</v>
      </c>
      <c r="M7" s="2636"/>
      <c r="N7" s="2612"/>
      <c r="O7" s="2637"/>
      <c r="P7" s="2637"/>
      <c r="Q7" s="2638">
        <v>365</v>
      </c>
      <c r="R7" s="2639">
        <f>ROUND(M7*N7*O7*P7*Q7/10000,0)</f>
        <v>0</v>
      </c>
      <c r="S7" s="2593"/>
      <c r="T7" s="2593" t="s">
        <v>2346</v>
      </c>
      <c r="U7" s="2593"/>
      <c r="V7" s="2601"/>
    </row>
    <row r="8" spans="1:22" s="2605" customFormat="1" ht="13.15" customHeight="1">
      <c r="A8" s="2640" t="s">
        <v>2347</v>
      </c>
      <c r="B8" s="3359" t="s">
        <v>2348</v>
      </c>
      <c r="C8" s="3360"/>
      <c r="D8" s="2641" t="s">
        <v>2349</v>
      </c>
      <c r="E8" s="2642" t="s">
        <v>2350</v>
      </c>
      <c r="F8" s="2643" t="s">
        <v>2351</v>
      </c>
      <c r="G8" s="2644"/>
      <c r="H8" s="2600"/>
      <c r="I8" s="2601"/>
      <c r="J8" s="3342"/>
      <c r="K8" s="3344"/>
      <c r="L8" s="2635" t="s">
        <v>2352</v>
      </c>
      <c r="M8" s="2636"/>
      <c r="N8" s="2612"/>
      <c r="O8" s="2637"/>
      <c r="P8" s="2637"/>
      <c r="Q8" s="2638">
        <v>365</v>
      </c>
      <c r="R8" s="2639">
        <f t="shared" ref="R8:R13" si="0">ROUND(M8*N8*O8*P8*Q8/10000,0)</f>
        <v>0</v>
      </c>
      <c r="S8" s="2593"/>
      <c r="T8" s="2593" t="s">
        <v>2353</v>
      </c>
      <c r="U8" s="2593"/>
      <c r="V8" s="2601"/>
    </row>
    <row r="9" spans="1:22" s="2605" customFormat="1" ht="13.15" customHeight="1">
      <c r="A9" s="2640">
        <v>1</v>
      </c>
      <c r="B9" s="3359" t="s">
        <v>2354</v>
      </c>
      <c r="C9" s="3360"/>
      <c r="D9" s="2641">
        <f>ROUND(D6*E9,0)</f>
        <v>0</v>
      </c>
      <c r="E9" s="2645"/>
      <c r="F9" s="2646" t="s">
        <v>2355</v>
      </c>
      <c r="G9" s="2625"/>
      <c r="H9" s="2600"/>
      <c r="I9" s="2601"/>
      <c r="J9" s="3342"/>
      <c r="K9" s="3344"/>
      <c r="L9" s="2635" t="s">
        <v>2356</v>
      </c>
      <c r="M9" s="2636"/>
      <c r="N9" s="2612"/>
      <c r="O9" s="2637"/>
      <c r="P9" s="2637"/>
      <c r="Q9" s="2638">
        <v>365</v>
      </c>
      <c r="R9" s="2639">
        <f t="shared" si="0"/>
        <v>0</v>
      </c>
      <c r="S9" s="2593"/>
      <c r="T9" s="2593"/>
      <c r="U9" s="2593"/>
      <c r="V9" s="2601"/>
    </row>
    <row r="10" spans="1:22" s="2605" customFormat="1" ht="13.15" customHeight="1">
      <c r="A10" s="2640">
        <v>2</v>
      </c>
      <c r="B10" s="3359" t="s">
        <v>2357</v>
      </c>
      <c r="C10" s="3360"/>
      <c r="D10" s="2641">
        <f>ROUND(D6*E10,0)</f>
        <v>0</v>
      </c>
      <c r="E10" s="2645"/>
      <c r="F10" s="2646" t="s">
        <v>2358</v>
      </c>
      <c r="G10" s="2625"/>
      <c r="H10" s="2600"/>
      <c r="I10" s="2601"/>
      <c r="J10" s="3342"/>
      <c r="K10" s="3344"/>
      <c r="L10" s="2635" t="s">
        <v>2359</v>
      </c>
      <c r="M10" s="2636"/>
      <c r="N10" s="2612"/>
      <c r="O10" s="2637"/>
      <c r="P10" s="2637"/>
      <c r="Q10" s="2638">
        <v>365</v>
      </c>
      <c r="R10" s="2639">
        <f t="shared" si="0"/>
        <v>0</v>
      </c>
      <c r="S10" s="2593"/>
      <c r="T10" s="2593"/>
      <c r="U10" s="2593"/>
      <c r="V10" s="2601"/>
    </row>
    <row r="11" spans="1:22" s="2605" customFormat="1" ht="13.15" customHeight="1">
      <c r="A11" s="2640">
        <v>3</v>
      </c>
      <c r="B11" s="3359" t="s">
        <v>2360</v>
      </c>
      <c r="C11" s="3360"/>
      <c r="D11" s="2641">
        <f>D12+D14+D15+D16</f>
        <v>0</v>
      </c>
      <c r="E11" s="2647" t="e">
        <f>D11/D6</f>
        <v>#DIV/0!</v>
      </c>
      <c r="F11" s="2643"/>
      <c r="G11" s="2644"/>
      <c r="H11" s="2600"/>
      <c r="I11" s="2601"/>
      <c r="J11" s="3342"/>
      <c r="K11" s="3344"/>
      <c r="L11" s="2635" t="s">
        <v>2361</v>
      </c>
      <c r="M11" s="2636"/>
      <c r="N11" s="2612"/>
      <c r="O11" s="2637"/>
      <c r="P11" s="2637"/>
      <c r="Q11" s="2638">
        <v>365</v>
      </c>
      <c r="R11" s="2639">
        <f t="shared" si="0"/>
        <v>0</v>
      </c>
      <c r="S11" s="2593"/>
      <c r="T11" s="2593"/>
      <c r="U11" s="2593"/>
      <c r="V11" s="2601"/>
    </row>
    <row r="12" spans="1:22" s="2605" customFormat="1" ht="13.15" customHeight="1">
      <c r="A12" s="2648" t="s">
        <v>2362</v>
      </c>
      <c r="B12" s="3352" t="s">
        <v>2363</v>
      </c>
      <c r="C12" s="3353"/>
      <c r="D12" s="2649">
        <f>ROUND(D13*1.2%*(1-30%),0)</f>
        <v>0</v>
      </c>
      <c r="E12" s="2650">
        <v>1.2E-2</v>
      </c>
      <c r="F12" s="2643" t="s">
        <v>2364</v>
      </c>
      <c r="G12" s="2644"/>
      <c r="H12" s="2600"/>
      <c r="I12" s="2601"/>
      <c r="J12" s="3342"/>
      <c r="K12" s="3344"/>
      <c r="L12" s="2635" t="s">
        <v>2365</v>
      </c>
      <c r="M12" s="2636"/>
      <c r="N12" s="2612"/>
      <c r="O12" s="2637"/>
      <c r="P12" s="2637"/>
      <c r="Q12" s="2638">
        <v>365</v>
      </c>
      <c r="R12" s="2639">
        <f t="shared" si="0"/>
        <v>0</v>
      </c>
      <c r="S12" s="2593"/>
      <c r="T12" s="2593"/>
      <c r="U12" s="2593"/>
      <c r="V12" s="2601"/>
    </row>
    <row r="13" spans="1:22" s="2605" customFormat="1" ht="13.15" customHeight="1">
      <c r="A13" s="2648"/>
      <c r="B13" s="2651"/>
      <c r="C13" s="2652" t="s">
        <v>2366</v>
      </c>
      <c r="D13" s="2653"/>
      <c r="E13" s="2654"/>
      <c r="F13" s="2643"/>
      <c r="G13" s="2644"/>
      <c r="H13" s="2600"/>
      <c r="I13" s="2601"/>
      <c r="J13" s="3342"/>
      <c r="K13" s="3344"/>
      <c r="L13" s="2635" t="s">
        <v>2367</v>
      </c>
      <c r="M13" s="2636"/>
      <c r="N13" s="2612"/>
      <c r="O13" s="2637"/>
      <c r="P13" s="2637"/>
      <c r="Q13" s="2638">
        <v>365</v>
      </c>
      <c r="R13" s="2639">
        <f t="shared" si="0"/>
        <v>0</v>
      </c>
      <c r="S13" s="2593"/>
      <c r="T13" s="2593"/>
      <c r="U13" s="2593"/>
      <c r="V13" s="2601"/>
    </row>
    <row r="14" spans="1:22" s="2605" customFormat="1" ht="13.15" customHeight="1">
      <c r="A14" s="2648" t="s">
        <v>2368</v>
      </c>
      <c r="B14" s="3352" t="s">
        <v>2369</v>
      </c>
      <c r="C14" s="3353"/>
      <c r="D14" s="2649">
        <f>ROUND(E14*B5/10000,0)</f>
        <v>0</v>
      </c>
      <c r="E14" s="2638"/>
      <c r="F14" s="2643" t="s">
        <v>2370</v>
      </c>
      <c r="G14" s="2644"/>
      <c r="H14" s="2600"/>
      <c r="I14" s="2601"/>
      <c r="J14" s="3342"/>
      <c r="K14" s="3345"/>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2372</v>
      </c>
      <c r="B15" s="3352" t="s">
        <v>2373</v>
      </c>
      <c r="C15" s="3353"/>
      <c r="D15" s="2649">
        <f>ROUND(D6*E15,0)</f>
        <v>0</v>
      </c>
      <c r="E15" s="2650">
        <v>5.5E-2</v>
      </c>
      <c r="F15" s="2643" t="s">
        <v>2374</v>
      </c>
      <c r="G15" s="2625"/>
      <c r="H15" s="2600"/>
      <c r="I15" s="2601"/>
      <c r="J15" s="3342">
        <v>2</v>
      </c>
      <c r="K15" s="3343"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15" customHeight="1">
      <c r="A16" s="2648" t="s">
        <v>2381</v>
      </c>
      <c r="B16" s="3352" t="s">
        <v>2382</v>
      </c>
      <c r="C16" s="3353"/>
      <c r="D16" s="2660">
        <f>D6*E16</f>
        <v>0</v>
      </c>
      <c r="E16" s="2661"/>
      <c r="F16" s="2646" t="s">
        <v>2383</v>
      </c>
      <c r="G16" s="2625"/>
      <c r="H16" s="2600"/>
      <c r="I16" s="2601"/>
      <c r="J16" s="3342"/>
      <c r="K16" s="3344"/>
      <c r="L16" s="2635" t="s">
        <v>2384</v>
      </c>
      <c r="M16" s="2636"/>
      <c r="N16" s="2636"/>
      <c r="O16" s="2637"/>
      <c r="P16" s="2638">
        <v>365</v>
      </c>
      <c r="Q16" s="2612"/>
      <c r="R16" s="2659">
        <f>ROUND(M16*N16*O16*P16/10000,0)</f>
        <v>0</v>
      </c>
      <c r="S16" s="2593"/>
      <c r="T16" s="2593"/>
      <c r="U16" s="2593"/>
      <c r="V16" s="2601"/>
    </row>
    <row r="17" spans="1:22" s="2605" customFormat="1" ht="13.15" customHeight="1" thickBot="1">
      <c r="A17" s="2662">
        <v>4</v>
      </c>
      <c r="B17" s="3354" t="s">
        <v>2385</v>
      </c>
      <c r="C17" s="3355"/>
      <c r="D17" s="2663">
        <f>ROUND(D6*E17,0)</f>
        <v>0</v>
      </c>
      <c r="E17" s="2664"/>
      <c r="F17" s="2665" t="s">
        <v>2386</v>
      </c>
      <c r="G17" s="2625"/>
      <c r="H17" s="2600"/>
      <c r="I17" s="2601"/>
      <c r="J17" s="3342"/>
      <c r="K17" s="3344"/>
      <c r="L17" s="2635" t="s">
        <v>2387</v>
      </c>
      <c r="M17" s="2636"/>
      <c r="N17" s="2636"/>
      <c r="O17" s="2637"/>
      <c r="P17" s="2638">
        <v>365</v>
      </c>
      <c r="Q17" s="2612"/>
      <c r="R17" s="2659">
        <f>ROUND(M17*N17*O17*P17/10000,0)</f>
        <v>0</v>
      </c>
      <c r="S17" s="2593"/>
      <c r="T17" s="2593"/>
      <c r="U17" s="2593"/>
      <c r="V17" s="2601"/>
    </row>
    <row r="18" spans="1:22" s="2605" customFormat="1" ht="13.15" customHeight="1" thickBot="1">
      <c r="A18" s="2628" t="s">
        <v>2388</v>
      </c>
      <c r="B18" s="2629"/>
      <c r="C18" s="2629"/>
      <c r="D18" s="2666">
        <f>ROUND(D6*E18,0)</f>
        <v>0</v>
      </c>
      <c r="E18" s="2667"/>
      <c r="F18" s="2668" t="s">
        <v>2389</v>
      </c>
      <c r="G18" s="2625"/>
      <c r="H18" s="2600"/>
      <c r="I18" s="2601"/>
      <c r="J18" s="3342"/>
      <c r="K18" s="3344"/>
      <c r="L18" s="2635" t="s">
        <v>2390</v>
      </c>
      <c r="M18" s="2636"/>
      <c r="N18" s="2636"/>
      <c r="O18" s="2637"/>
      <c r="P18" s="2638">
        <v>365</v>
      </c>
      <c r="Q18" s="2612"/>
      <c r="R18" s="2659">
        <f>ROUND(M18*N18*O18*P18/10000,0)</f>
        <v>0</v>
      </c>
      <c r="S18" s="2593"/>
      <c r="T18" s="2593"/>
      <c r="U18" s="2593"/>
      <c r="V18" s="2601"/>
    </row>
    <row r="19" spans="1:22" s="2605" customFormat="1" ht="13.15" customHeight="1" thickBot="1">
      <c r="A19" s="2669" t="s">
        <v>2391</v>
      </c>
      <c r="B19" s="2623"/>
      <c r="C19" s="2623"/>
      <c r="D19" s="2623"/>
      <c r="E19" s="2623"/>
      <c r="F19" s="2624"/>
      <c r="G19" s="2644"/>
      <c r="H19" s="2600"/>
      <c r="I19" s="2601"/>
      <c r="J19" s="3342"/>
      <c r="K19" s="3345"/>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2">
        <v>3</v>
      </c>
      <c r="K20" s="3343"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15" customHeight="1">
      <c r="A21" s="2628"/>
      <c r="B21" s="2629"/>
      <c r="C21" s="2674" t="s">
        <v>2400</v>
      </c>
      <c r="D21" s="2675" t="s">
        <v>2401</v>
      </c>
      <c r="E21" s="2676" t="s">
        <v>2402</v>
      </c>
      <c r="F21" s="2672"/>
      <c r="G21" s="2644"/>
      <c r="H21" s="2600"/>
      <c r="I21" s="2601"/>
      <c r="J21" s="3342"/>
      <c r="K21" s="3344"/>
      <c r="L21" s="2635" t="s">
        <v>2403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2404</v>
      </c>
      <c r="D22" s="2679" t="s">
        <v>2405</v>
      </c>
      <c r="E22" s="2680" t="s">
        <v>2406</v>
      </c>
      <c r="F22" s="2672"/>
      <c r="G22" s="2593"/>
      <c r="H22" s="2600"/>
      <c r="I22" s="2601"/>
      <c r="J22" s="3342"/>
      <c r="K22" s="3344"/>
      <c r="L22" s="2635" t="s">
        <v>2407</v>
      </c>
      <c r="M22" s="2636"/>
      <c r="N22" s="2636"/>
      <c r="O22" s="2637"/>
      <c r="P22" s="2638">
        <v>365</v>
      </c>
      <c r="Q22" s="2612"/>
      <c r="R22" s="2677">
        <f>ROUND(M22*N22*O22*P22/10000,0)</f>
        <v>0</v>
      </c>
      <c r="S22" s="2593"/>
      <c r="T22" s="2593"/>
      <c r="U22" s="2593"/>
      <c r="V22" s="2601"/>
    </row>
    <row r="23" spans="1:22" s="2605" customFormat="1" ht="13.15" customHeight="1">
      <c r="A23" s="2681">
        <v>1</v>
      </c>
      <c r="B23" s="2682" t="s">
        <v>2408</v>
      </c>
      <c r="C23" s="2683">
        <f>D6</f>
        <v>0</v>
      </c>
      <c r="D23" s="2684">
        <f>C23*(1+D24)</f>
        <v>0</v>
      </c>
      <c r="E23" s="2685">
        <f>D23*(1+E24)</f>
        <v>0</v>
      </c>
      <c r="F23" s="2686"/>
      <c r="G23" s="2687"/>
      <c r="H23" s="2600"/>
      <c r="I23" s="2601"/>
      <c r="J23" s="3342"/>
      <c r="K23" s="3344"/>
      <c r="L23" s="2635" t="s">
        <v>2409</v>
      </c>
      <c r="M23" s="2636"/>
      <c r="N23" s="2636"/>
      <c r="O23" s="2637"/>
      <c r="P23" s="2638">
        <v>365</v>
      </c>
      <c r="Q23" s="2612"/>
      <c r="R23" s="2677">
        <f>ROUND(M23*N23*O23*P23/10000,0)</f>
        <v>0</v>
      </c>
      <c r="S23" s="2593"/>
      <c r="T23" s="2593"/>
      <c r="U23" s="2593"/>
      <c r="V23" s="2601"/>
    </row>
    <row r="24" spans="1:22" s="2605" customFormat="1" ht="13.15" customHeight="1">
      <c r="A24" s="2688"/>
      <c r="B24" s="2689" t="s">
        <v>2410</v>
      </c>
      <c r="C24" s="2690"/>
      <c r="D24" s="2691"/>
      <c r="E24" s="2692"/>
      <c r="F24" s="2693"/>
      <c r="G24" s="2687"/>
      <c r="H24" s="2600"/>
      <c r="I24" s="2601"/>
      <c r="J24" s="3342"/>
      <c r="K24" s="3345"/>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15" customHeight="1">
      <c r="A26" s="2681">
        <v>2</v>
      </c>
      <c r="B26" s="2682" t="s">
        <v>2412</v>
      </c>
      <c r="C26" s="2683">
        <f>D7</f>
        <v>0</v>
      </c>
      <c r="D26" s="2684">
        <f>D23*D27</f>
        <v>0</v>
      </c>
      <c r="E26" s="2685">
        <f>E23*E27</f>
        <v>0</v>
      </c>
      <c r="F26" s="2686"/>
      <c r="G26" s="2687"/>
      <c r="H26" s="2600"/>
      <c r="I26" s="2601"/>
      <c r="J26" s="3346">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15" customHeight="1">
      <c r="A27" s="2688"/>
      <c r="B27" s="2689" t="s">
        <v>2418</v>
      </c>
      <c r="C27" s="2706" t="e">
        <f>E7</f>
        <v>#DIV/0!</v>
      </c>
      <c r="D27" s="2691"/>
      <c r="E27" s="2692"/>
      <c r="F27" s="2693"/>
      <c r="G27" s="2687"/>
      <c r="H27" s="2707"/>
      <c r="I27" s="2699"/>
      <c r="J27" s="334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15"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15" customHeight="1">
      <c r="A32" s="2681">
        <v>4</v>
      </c>
      <c r="B32" s="2682" t="s">
        <v>2426</v>
      </c>
      <c r="C32" s="2683">
        <f>C23-C26-C29</f>
        <v>0</v>
      </c>
      <c r="D32" s="2684">
        <f>D23-D26-D29</f>
        <v>0</v>
      </c>
      <c r="E32" s="2685">
        <f>E23-E26-E29</f>
        <v>0</v>
      </c>
      <c r="F32" s="2686"/>
      <c r="G32" s="2593"/>
      <c r="H32" s="2600"/>
      <c r="I32" s="2601"/>
      <c r="J32" s="3348" t="s">
        <v>2318</v>
      </c>
      <c r="K32" s="3349"/>
      <c r="L32" s="2602" t="s">
        <v>2319</v>
      </c>
      <c r="M32" s="2602" t="s">
        <v>2320</v>
      </c>
      <c r="N32" s="2602" t="s">
        <v>2321</v>
      </c>
      <c r="O32" s="2602" t="s">
        <v>2322</v>
      </c>
      <c r="P32" s="2602" t="s">
        <v>2323</v>
      </c>
      <c r="Q32" s="2603" t="s">
        <v>2324</v>
      </c>
      <c r="R32" s="2722" t="s">
        <v>2325</v>
      </c>
      <c r="S32" s="2593"/>
      <c r="T32" s="2593"/>
      <c r="U32" s="2593"/>
      <c r="V32" s="2699"/>
    </row>
    <row r="33" spans="1:23" s="2605" customFormat="1" ht="13.15" customHeight="1">
      <c r="A33" s="2681"/>
      <c r="B33" s="2682"/>
      <c r="C33" s="2683"/>
      <c r="D33" s="2723"/>
      <c r="E33" s="2724"/>
      <c r="F33" s="2686"/>
      <c r="G33" s="2593"/>
      <c r="H33" s="2707"/>
      <c r="I33" s="2699"/>
      <c r="J33" s="3350" t="s">
        <v>2328</v>
      </c>
      <c r="K33" s="3351"/>
      <c r="L33" s="2608"/>
      <c r="M33" s="2608"/>
      <c r="N33" s="2608"/>
      <c r="O33" s="2608"/>
      <c r="P33" s="2608"/>
      <c r="Q33" s="2609"/>
      <c r="R33" s="2725">
        <f>SUM(L33:Q33)</f>
        <v>0</v>
      </c>
      <c r="S33" s="2593"/>
      <c r="T33" s="2593"/>
      <c r="U33" s="2593"/>
      <c r="V33" s="2601"/>
    </row>
    <row r="34" spans="1:23" s="2605" customFormat="1" ht="13.15" customHeight="1">
      <c r="A34" s="2681">
        <v>5</v>
      </c>
      <c r="B34" s="2682" t="s">
        <v>2427</v>
      </c>
      <c r="C34" s="2726"/>
      <c r="D34" s="2727"/>
      <c r="E34" s="2728"/>
      <c r="F34" s="2686"/>
      <c r="G34" s="2593"/>
      <c r="H34" s="2707"/>
      <c r="I34" s="2699"/>
      <c r="J34" s="3350" t="s">
        <v>2330</v>
      </c>
      <c r="K34" s="335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15" customHeight="1" thickBot="1">
      <c r="A36" s="2681">
        <v>7</v>
      </c>
      <c r="B36" s="2735" t="s">
        <v>2429</v>
      </c>
      <c r="C36" s="2736"/>
      <c r="D36" s="2737"/>
      <c r="E36" s="2738"/>
      <c r="F36" s="2739">
        <f>C36+D36+E36</f>
        <v>0</v>
      </c>
      <c r="G36" s="2593"/>
      <c r="H36" s="2600"/>
      <c r="I36" s="2601"/>
      <c r="J36" s="3342">
        <v>1</v>
      </c>
      <c r="K36" s="3343" t="s">
        <v>2430</v>
      </c>
      <c r="L36" s="2626"/>
      <c r="M36" s="2627"/>
      <c r="N36" s="2627"/>
      <c r="O36" s="2627"/>
      <c r="P36" s="2627"/>
      <c r="Q36" s="2627"/>
      <c r="R36" s="2610" t="s">
        <v>2342</v>
      </c>
      <c r="S36" s="2593"/>
      <c r="T36" s="2593" t="s">
        <v>2343</v>
      </c>
      <c r="U36" s="2593"/>
      <c r="V36" s="2601"/>
    </row>
    <row r="37" spans="1:23" s="2605" customFormat="1" ht="13.15"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2353</v>
      </c>
      <c r="U38" s="2593"/>
      <c r="V38" s="2601"/>
    </row>
    <row r="39" spans="1:23" s="2605" customFormat="1" ht="13.15" customHeight="1">
      <c r="A39" s="2681">
        <v>9</v>
      </c>
      <c r="B39" s="2682" t="s">
        <v>2431</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15" customHeight="1">
      <c r="A40" s="2740">
        <v>10</v>
      </c>
      <c r="B40" s="2682" t="s">
        <v>2432</v>
      </c>
      <c r="C40" s="2741" t="e">
        <f>C39+D39+E39</f>
        <v>#DIV/0!</v>
      </c>
      <c r="D40" s="2742"/>
      <c r="E40" s="2742"/>
      <c r="F40" s="2743"/>
      <c r="G40" s="2593"/>
      <c r="H40" s="2600"/>
      <c r="I40" s="2601"/>
      <c r="J40" s="3342"/>
      <c r="K40" s="3345"/>
      <c r="L40" s="2655" t="s">
        <v>2371</v>
      </c>
      <c r="M40" s="2656"/>
      <c r="N40" s="2656"/>
      <c r="O40" s="2657"/>
      <c r="P40" s="2657"/>
      <c r="Q40" s="2658"/>
      <c r="R40" s="2604">
        <f>SUM(R37:R39)</f>
        <v>0</v>
      </c>
      <c r="S40" s="2593"/>
      <c r="T40" s="2593"/>
      <c r="U40" s="2593"/>
      <c r="V40" s="2601"/>
    </row>
    <row r="41" spans="1:23" s="2605" customFormat="1" ht="13.15"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6">
        <v>3</v>
      </c>
      <c r="K42" s="2701" t="s">
        <v>2413</v>
      </c>
      <c r="L42" s="2702"/>
      <c r="M42" s="2703"/>
      <c r="N42" s="2704" t="s">
        <v>2414</v>
      </c>
      <c r="O42" s="2704" t="s">
        <v>2415</v>
      </c>
      <c r="P42" s="2705" t="s">
        <v>2416</v>
      </c>
      <c r="Q42" s="2705" t="s">
        <v>2417</v>
      </c>
      <c r="R42" s="2610" t="s">
        <v>2342</v>
      </c>
      <c r="S42" s="2644"/>
      <c r="T42" s="2644"/>
      <c r="U42" s="2593"/>
      <c r="V42" s="2601"/>
    </row>
    <row r="43" spans="1:23" ht="13.15" customHeight="1">
      <c r="A43" s="2605"/>
      <c r="B43" s="2605"/>
      <c r="C43" s="2605"/>
      <c r="D43" s="2605"/>
      <c r="E43" s="2605"/>
      <c r="F43" s="2605"/>
      <c r="I43" s="2588"/>
      <c r="J43" s="334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128.47999999999999</v>
      </c>
      <c r="C2" s="1729" t="s">
        <v>1651</v>
      </c>
      <c r="D2" s="1730" t="s">
        <v>1652</v>
      </c>
      <c r="E2" s="2393">
        <f>SUM(E6:E13)</f>
        <v>41.09</v>
      </c>
      <c r="F2" s="2480"/>
      <c r="G2" s="459"/>
      <c r="H2" s="459"/>
      <c r="I2" s="459"/>
      <c r="J2" s="459"/>
      <c r="K2" s="459"/>
      <c r="L2" s="459"/>
      <c r="M2" s="459"/>
      <c r="N2" s="459"/>
      <c r="O2" s="459"/>
      <c r="P2" s="459"/>
      <c r="Q2" s="459"/>
      <c r="R2" s="459"/>
      <c r="S2" s="459"/>
    </row>
    <row r="3" spans="1:22" ht="15.75">
      <c r="A3" s="1728" t="s">
        <v>686</v>
      </c>
      <c r="B3" s="2387">
        <f ca="1">ROUND(B2*10000/E2,0)</f>
        <v>31268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128.47999999999999</v>
      </c>
      <c r="C6" s="1729" t="s">
        <v>1651</v>
      </c>
      <c r="D6" s="2480"/>
      <c r="E6" s="2392">
        <f>IF(OR(A6=0,F6="否"),0,'数据-取费表'!K6+'数据-取费表'!S6)</f>
        <v>41.09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41.09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ht="15">
      <c r="A5" s="348"/>
      <c r="B5" s="349"/>
      <c r="C5" s="3399" t="s">
        <v>1673</v>
      </c>
      <c r="D5" s="3400"/>
      <c r="E5" s="3406" t="s">
        <v>1674</v>
      </c>
      <c r="F5" s="3407"/>
      <c r="G5" s="3399" t="s">
        <v>1675</v>
      </c>
      <c r="H5" s="3400"/>
      <c r="I5" s="3399" t="s">
        <v>1676</v>
      </c>
      <c r="J5" s="3400"/>
      <c r="K5" s="1745"/>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1745"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6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6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6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6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41.09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67"/>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67"/>
      <c r="AC6" s="3380"/>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6"/>
      <c r="Q22" s="1263"/>
      <c r="R22" s="667"/>
      <c r="S22" s="668"/>
      <c r="T22" s="667"/>
      <c r="U22" s="668"/>
      <c r="V22" s="667"/>
      <c r="W22" s="668"/>
      <c r="X22" s="1265"/>
      <c r="Y22" s="336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3423</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2.7099999999999999E-2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6.6</v>
      </c>
      <c r="C3" s="344" t="s">
        <v>1768</v>
      </c>
      <c r="D3" s="343">
        <f>IF(D1="",'数据-汇总表'!E3,SUMIF('数据-汇总表'!$C19:$C33,D1,'数据-汇总表'!$E19:$E33))</f>
        <v>41.09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414" t="s">
        <v>1775</v>
      </c>
      <c r="Q4" s="3415"/>
      <c r="R4" s="3418" t="s">
        <v>1771</v>
      </c>
      <c r="S4" s="3419"/>
      <c r="T4" s="3418" t="s">
        <v>1772</v>
      </c>
      <c r="U4" s="3419"/>
      <c r="V4" s="3420" t="s">
        <v>1773</v>
      </c>
      <c r="W4" s="3420"/>
      <c r="X4" s="1809"/>
      <c r="Y4" s="3418" t="s">
        <v>1775</v>
      </c>
      <c r="Z4" s="3419"/>
      <c r="AA4" s="3423" t="s">
        <v>1771</v>
      </c>
      <c r="AB4" s="3423" t="s">
        <v>1772</v>
      </c>
      <c r="AC4" s="3411" t="s">
        <v>1773</v>
      </c>
    </row>
    <row r="5" spans="1:29" ht="15">
      <c r="A5" s="348"/>
      <c r="B5" s="349"/>
      <c r="C5" s="3422" t="s">
        <v>3424</v>
      </c>
      <c r="D5" s="3400"/>
      <c r="E5" s="3406" t="str">
        <f>C5</f>
        <v>中国技术交易大厦</v>
      </c>
      <c r="F5" s="3407"/>
      <c r="G5" s="3399" t="str">
        <f>E5</f>
        <v>中国技术交易大厦</v>
      </c>
      <c r="H5" s="3400"/>
      <c r="I5" s="3399" t="str">
        <f>G5</f>
        <v>中国技术交易大厦</v>
      </c>
      <c r="J5" s="3400"/>
      <c r="K5" s="537"/>
      <c r="L5" s="2487"/>
      <c r="M5" s="2488"/>
      <c r="N5" s="2488"/>
      <c r="O5" s="2488"/>
      <c r="P5" s="3416"/>
      <c r="Q5" s="3388"/>
      <c r="R5" s="3393"/>
      <c r="S5" s="3394"/>
      <c r="T5" s="3393"/>
      <c r="U5" s="3394"/>
      <c r="V5" s="3367"/>
      <c r="W5" s="3367"/>
      <c r="X5" s="1265"/>
      <c r="Y5" s="3393"/>
      <c r="Z5" s="3394"/>
      <c r="AA5" s="3379"/>
      <c r="AB5" s="3379"/>
      <c r="AC5" s="3412"/>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417"/>
      <c r="Q6" s="3390"/>
      <c r="R6" s="3393"/>
      <c r="S6" s="3394"/>
      <c r="T6" s="3395"/>
      <c r="U6" s="3396"/>
      <c r="V6" s="3367"/>
      <c r="W6" s="3367"/>
      <c r="X6" s="1265"/>
      <c r="Y6" s="3395"/>
      <c r="Z6" s="3396"/>
      <c r="AA6" s="3380"/>
      <c r="AB6" s="3380"/>
      <c r="AC6" s="3413"/>
    </row>
    <row r="7" spans="1:29" s="102" customFormat="1" ht="15.75" thickBot="1">
      <c r="A7" s="352" t="s">
        <v>1679</v>
      </c>
      <c r="B7" s="353"/>
      <c r="C7" s="354">
        <f>'数据-取费表'!B2</f>
        <v>45642</v>
      </c>
      <c r="D7" s="355">
        <v>100</v>
      </c>
      <c r="E7" s="356">
        <v>45597</v>
      </c>
      <c r="F7" s="357">
        <f>SUMIF(59:59,YEAR(E7)&amp;"-"&amp;MONTH(E7),60:60)</f>
        <v>100</v>
      </c>
      <c r="G7" s="356">
        <v>45597</v>
      </c>
      <c r="H7" s="355">
        <f>SUMIF(59:59,YEAR(G7)&amp;"-"&amp;MONTH(G7),60:60)</f>
        <v>100</v>
      </c>
      <c r="I7" s="356">
        <v>45597</v>
      </c>
      <c r="J7" s="355">
        <f>SUMIF(59:59,YEAR(I7)&amp;"-"&amp;MONTH(I7),60:60)</f>
        <v>100</v>
      </c>
      <c r="K7" s="38"/>
      <c r="L7" s="2489"/>
      <c r="M7" s="2440"/>
      <c r="N7" s="2440"/>
      <c r="O7" s="2440"/>
      <c r="P7" s="342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21" t="s">
        <v>1683</v>
      </c>
      <c r="Q8" s="3402"/>
      <c r="R8" s="664" t="s">
        <v>14</v>
      </c>
      <c r="S8" s="665">
        <f t="shared" si="0"/>
        <v>105</v>
      </c>
      <c r="T8" s="664" t="s">
        <v>14</v>
      </c>
      <c r="U8" s="665">
        <f t="shared" si="1"/>
        <v>105</v>
      </c>
      <c r="V8" s="664" t="s">
        <v>14</v>
      </c>
      <c r="W8" s="665">
        <f t="shared" si="2"/>
        <v>105</v>
      </c>
      <c r="X8" s="666"/>
      <c r="Y8" s="3401" t="s">
        <v>1683</v>
      </c>
      <c r="Z8" s="3402"/>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3148" t="s">
        <v>3418</v>
      </c>
      <c r="C12" s="3149" t="s">
        <v>3419</v>
      </c>
      <c r="D12" s="372">
        <v>100</v>
      </c>
      <c r="E12" s="3149" t="s">
        <v>3420</v>
      </c>
      <c r="F12" s="119">
        <f>SUMIF(71:71,E12,72:72)-SUMIF(71:71,C12,72:72)+100</f>
        <v>105</v>
      </c>
      <c r="G12" s="3150" t="s">
        <v>3420</v>
      </c>
      <c r="H12" s="119">
        <f>SUMIF(71:71,G12,72:72)-SUMIF(71:71,C12,72:72)+100</f>
        <v>105</v>
      </c>
      <c r="I12" s="3149" t="s">
        <v>3420</v>
      </c>
      <c r="J12" s="119">
        <f>SUMIF(71:71,I12,72:72)-SUMIF(71:71,C12,72:72)+100</f>
        <v>105</v>
      </c>
      <c r="K12" s="539"/>
      <c r="L12" s="2489"/>
      <c r="M12" s="2440"/>
      <c r="N12" s="2440"/>
      <c r="O12" s="2440"/>
      <c r="P12" s="3377"/>
      <c r="Q12" s="530" t="str">
        <f t="shared" si="6"/>
        <v>可单独使用</v>
      </c>
      <c r="R12" s="664" t="s">
        <v>14</v>
      </c>
      <c r="S12" s="665">
        <f t="shared" si="0"/>
        <v>105</v>
      </c>
      <c r="T12" s="664" t="s">
        <v>14</v>
      </c>
      <c r="U12" s="665">
        <f t="shared" si="1"/>
        <v>105</v>
      </c>
      <c r="V12" s="664" t="s">
        <v>14</v>
      </c>
      <c r="W12" s="665">
        <f t="shared" si="2"/>
        <v>105</v>
      </c>
      <c r="X12" s="666"/>
      <c r="Y12" s="3241"/>
      <c r="Z12" s="50" t="str">
        <f t="shared" si="7"/>
        <v>可单独使用</v>
      </c>
      <c r="AA12" s="50">
        <f>D12/F12</f>
        <v>0.95238095238095233</v>
      </c>
      <c r="AB12" s="50">
        <f>D12/H12</f>
        <v>0.95238095238095233</v>
      </c>
      <c r="AC12" s="802">
        <f>D12/J12</f>
        <v>0.95238095238095233</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t="s">
        <v>3409</v>
      </c>
      <c r="D16" s="387"/>
      <c r="E16" s="1758" t="s">
        <v>3409</v>
      </c>
      <c r="F16" s="387"/>
      <c r="G16" s="1758" t="s">
        <v>3409</v>
      </c>
      <c r="H16" s="389"/>
      <c r="I16" s="1758" t="s">
        <v>3409</v>
      </c>
      <c r="J16" s="387"/>
      <c r="K16" s="541"/>
      <c r="L16" s="2493"/>
      <c r="M16" s="2488"/>
      <c r="N16" s="2488"/>
      <c r="O16" s="2488"/>
      <c r="P16" s="3376"/>
      <c r="Q16" s="1263"/>
      <c r="R16" s="667"/>
      <c r="S16" s="668"/>
      <c r="T16" s="667"/>
      <c r="U16" s="668"/>
      <c r="V16" s="667"/>
      <c r="W16" s="668"/>
      <c r="X16" s="1265"/>
      <c r="Y16" s="336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758" t="s">
        <v>3409</v>
      </c>
      <c r="D18" s="389"/>
      <c r="E18" s="1758" t="s">
        <v>3409</v>
      </c>
      <c r="F18" s="389"/>
      <c r="G18" s="1758" t="s">
        <v>3409</v>
      </c>
      <c r="H18" s="387"/>
      <c r="I18" s="1758" t="s">
        <v>3409</v>
      </c>
      <c r="J18" s="387"/>
      <c r="K18" s="541"/>
      <c r="L18" s="2493"/>
      <c r="M18" s="2488"/>
      <c r="N18" s="2488"/>
      <c r="O18" s="2488"/>
      <c r="P18" s="3376"/>
      <c r="Q18" s="1263"/>
      <c r="R18" s="667"/>
      <c r="S18" s="668"/>
      <c r="T18" s="667"/>
      <c r="U18" s="668"/>
      <c r="V18" s="667"/>
      <c r="W18" s="668"/>
      <c r="X18" s="1265"/>
      <c r="Y18" s="336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t="s">
        <v>3409</v>
      </c>
      <c r="D20" s="387"/>
      <c r="E20" s="1758" t="s">
        <v>3409</v>
      </c>
      <c r="F20" s="387"/>
      <c r="G20" s="1758" t="s">
        <v>3409</v>
      </c>
      <c r="H20" s="387"/>
      <c r="I20" s="1758" t="s">
        <v>3409</v>
      </c>
      <c r="J20" s="387"/>
      <c r="K20" s="541"/>
      <c r="L20" s="2493"/>
      <c r="M20" s="2488"/>
      <c r="N20" s="2488"/>
      <c r="O20" s="2488"/>
      <c r="P20" s="3376"/>
      <c r="Q20" s="1263"/>
      <c r="R20" s="667"/>
      <c r="S20" s="668"/>
      <c r="T20" s="667"/>
      <c r="U20" s="668"/>
      <c r="V20" s="667"/>
      <c r="W20" s="668"/>
      <c r="X20" s="1265"/>
      <c r="Y20" s="336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6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t="s">
        <v>3409</v>
      </c>
      <c r="D24" s="387"/>
      <c r="E24" s="1758" t="s">
        <v>3409</v>
      </c>
      <c r="F24" s="387"/>
      <c r="G24" s="1758" t="s">
        <v>3409</v>
      </c>
      <c r="H24" s="387"/>
      <c r="I24" s="1758" t="s">
        <v>3409</v>
      </c>
      <c r="J24" s="387"/>
      <c r="K24" s="541"/>
      <c r="L24" s="2493"/>
      <c r="M24" s="2488"/>
      <c r="N24" s="2488"/>
      <c r="O24" s="2488"/>
      <c r="P24" s="3376"/>
      <c r="Q24" s="1263"/>
      <c r="R24" s="667"/>
      <c r="S24" s="668"/>
      <c r="T24" s="667"/>
      <c r="U24" s="668"/>
      <c r="V24" s="667"/>
      <c r="W24" s="668"/>
      <c r="X24" s="1265"/>
      <c r="Y24" s="336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69"/>
      <c r="Z26" s="1264"/>
      <c r="AA26" s="1264">
        <v>1</v>
      </c>
      <c r="AB26" s="1264">
        <v>1</v>
      </c>
      <c r="AC26" s="1812">
        <v>1</v>
      </c>
    </row>
    <row r="27" spans="1:29" ht="15">
      <c r="A27" s="367"/>
      <c r="B27" s="401" t="s">
        <v>1783</v>
      </c>
      <c r="C27" s="558" t="s">
        <v>3428</v>
      </c>
      <c r="D27" s="374">
        <v>100</v>
      </c>
      <c r="E27" s="542" t="s">
        <v>3426</v>
      </c>
      <c r="F27" s="374">
        <f>SUMIF(89:89,E27,90:90)-SUMIF(89:89,C27,90:90)+100</f>
        <v>102</v>
      </c>
      <c r="G27" s="558" t="s">
        <v>3426</v>
      </c>
      <c r="H27" s="374">
        <f>SUMIF(89:89,G27,90:90)-SUMIF(89:89,C27,90:90)+100</f>
        <v>102</v>
      </c>
      <c r="I27" s="542" t="s">
        <v>3426</v>
      </c>
      <c r="J27" s="374">
        <f>SUMIF(89:89,I27,90:90)-SUMIF(89:89,C27,90:90)+100</f>
        <v>102</v>
      </c>
      <c r="K27" s="538">
        <v>2</v>
      </c>
      <c r="L27" s="2493"/>
      <c r="M27" s="2488"/>
      <c r="N27" s="2488"/>
      <c r="O27" s="2488"/>
      <c r="P27" s="3376"/>
      <c r="Q27" s="1263" t="str">
        <f t="shared" ref="Q27:Q47" si="11">B27</f>
        <v>楼层</v>
      </c>
      <c r="R27" s="667" t="s">
        <v>14</v>
      </c>
      <c r="S27" s="668">
        <f>F27</f>
        <v>102</v>
      </c>
      <c r="T27" s="667" t="s">
        <v>14</v>
      </c>
      <c r="U27" s="668">
        <f>H27</f>
        <v>102</v>
      </c>
      <c r="V27" s="667" t="s">
        <v>14</v>
      </c>
      <c r="W27" s="668">
        <f>J27</f>
        <v>102</v>
      </c>
      <c r="X27" s="1265"/>
      <c r="Y27" s="3369"/>
      <c r="Z27" s="1264" t="str">
        <f>Q27</f>
        <v>楼层</v>
      </c>
      <c r="AA27" s="1264">
        <f t="shared" si="3"/>
        <v>0.98039215686274506</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t="s">
        <v>3416</v>
      </c>
      <c r="D33" s="405">
        <v>100</v>
      </c>
      <c r="E33" s="1764" t="s">
        <v>3414</v>
      </c>
      <c r="F33" s="400">
        <f>SUMIF(101:101,E33,102:102)-SUMIF(101:101,C33,102:102)+100</f>
        <v>103</v>
      </c>
      <c r="G33" s="1764" t="s">
        <v>3414</v>
      </c>
      <c r="H33" s="374">
        <f>SUMIF(101:101,G33,102:102)-SUMIF(101:101,C33,102:102)+100</f>
        <v>103</v>
      </c>
      <c r="I33" s="1764" t="s">
        <v>3414</v>
      </c>
      <c r="J33" s="405">
        <f>SUMIF(101:101,I33,102:102)-SUMIF(101:101,C33,102:102)+100</f>
        <v>103</v>
      </c>
      <c r="K33" s="538">
        <v>3</v>
      </c>
      <c r="L33" s="2493"/>
      <c r="M33" s="2488"/>
      <c r="N33" s="2488"/>
      <c r="O33" s="2488"/>
      <c r="P33" s="3370" t="s">
        <v>1696</v>
      </c>
      <c r="Q33" s="1263" t="str">
        <f t="shared" si="11"/>
        <v>建筑类型</v>
      </c>
      <c r="R33" s="667" t="s">
        <v>14</v>
      </c>
      <c r="S33" s="668">
        <f t="shared" si="12"/>
        <v>103</v>
      </c>
      <c r="T33" s="667" t="s">
        <v>14</v>
      </c>
      <c r="U33" s="668">
        <f t="shared" si="13"/>
        <v>103</v>
      </c>
      <c r="V33" s="667" t="s">
        <v>14</v>
      </c>
      <c r="W33" s="668">
        <f t="shared" si="14"/>
        <v>103</v>
      </c>
      <c r="X33" s="1265"/>
      <c r="Y33" s="3373" t="s">
        <v>1696</v>
      </c>
      <c r="Z33" s="1264" t="str">
        <f t="shared" si="15"/>
        <v>建筑类型</v>
      </c>
      <c r="AA33" s="1264">
        <f t="shared" si="3"/>
        <v>0.970873786407767</v>
      </c>
      <c r="AB33" s="1264">
        <f t="shared" si="4"/>
        <v>0.970873786407767</v>
      </c>
      <c r="AC33" s="1812">
        <f t="shared" si="5"/>
        <v>0.970873786407767</v>
      </c>
    </row>
    <row r="34" spans="1:29" s="408" customFormat="1" ht="15">
      <c r="A34" s="406"/>
      <c r="B34" s="364" t="s">
        <v>1697</v>
      </c>
      <c r="C34" s="407">
        <f>'数据-汇总表'!F19</f>
        <v>41.09</v>
      </c>
      <c r="D34" s="119">
        <v>100</v>
      </c>
      <c r="E34" s="369">
        <v>188.83</v>
      </c>
      <c r="F34" s="364">
        <f>LOOKUP(E34,104:104,105:105)-LOOKUP(C34,104:104,105:105)+100</f>
        <v>103</v>
      </c>
      <c r="G34" s="368">
        <v>195.48</v>
      </c>
      <c r="H34" s="119">
        <f>LOOKUP(G34,104:104,105:105)-LOOKUP(C34,104:104,105:105)+100</f>
        <v>103</v>
      </c>
      <c r="I34" s="368">
        <v>196</v>
      </c>
      <c r="J34" s="119">
        <f>LOOKUP(I34,104:104,105:105)-LOOKUP(C34,104:104,105:105)+100</f>
        <v>103</v>
      </c>
      <c r="K34" s="539"/>
      <c r="L34" s="2492"/>
      <c r="M34" s="2494"/>
      <c r="N34" s="2494"/>
      <c r="O34" s="2494"/>
      <c r="P34" s="3371"/>
      <c r="Q34" s="531" t="str">
        <f t="shared" si="11"/>
        <v>项目建筑规模</v>
      </c>
      <c r="R34" s="669" t="s">
        <v>14</v>
      </c>
      <c r="S34" s="670">
        <f t="shared" si="12"/>
        <v>103</v>
      </c>
      <c r="T34" s="669" t="s">
        <v>14</v>
      </c>
      <c r="U34" s="670">
        <f t="shared" si="13"/>
        <v>103</v>
      </c>
      <c r="V34" s="669" t="s">
        <v>14</v>
      </c>
      <c r="W34" s="670">
        <f t="shared" si="14"/>
        <v>103</v>
      </c>
      <c r="X34" s="671"/>
      <c r="Y34" s="3373"/>
      <c r="Z34" s="672" t="str">
        <f t="shared" si="15"/>
        <v>项目建筑规模</v>
      </c>
      <c r="AA34" s="1264">
        <f t="shared" si="3"/>
        <v>0.970873786407767</v>
      </c>
      <c r="AB34" s="1264">
        <f t="shared" si="4"/>
        <v>0.970873786407767</v>
      </c>
      <c r="AC34" s="1812">
        <f t="shared" si="5"/>
        <v>0.970873786407767</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v>0.75</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c r="L37" s="2493"/>
      <c r="M37" s="2488"/>
      <c r="N37" s="2488"/>
      <c r="O37" s="2488"/>
      <c r="P37" s="3371"/>
      <c r="Q37" s="1263" t="str">
        <f t="shared" si="11"/>
        <v>成新度</v>
      </c>
      <c r="R37" s="667" t="s">
        <v>14</v>
      </c>
      <c r="S37" s="668">
        <f t="shared" si="12"/>
        <v>100</v>
      </c>
      <c r="T37" s="667" t="s">
        <v>14</v>
      </c>
      <c r="U37" s="668">
        <f t="shared" si="13"/>
        <v>100</v>
      </c>
      <c r="V37" s="667" t="s">
        <v>14</v>
      </c>
      <c r="W37" s="668">
        <f t="shared" si="14"/>
        <v>100</v>
      </c>
      <c r="X37" s="1265"/>
      <c r="Y37" s="337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t="s">
        <v>3410</v>
      </c>
      <c r="D43" s="374">
        <v>100</v>
      </c>
      <c r="E43" s="399" t="s">
        <v>3410</v>
      </c>
      <c r="F43" s="400">
        <f>SUMIF(123:123,E43,124:124)-SUMIF(123:123,C43,124:124)+100</f>
        <v>100</v>
      </c>
      <c r="G43" s="399" t="s">
        <v>3410</v>
      </c>
      <c r="H43" s="374">
        <f>SUMIF(123:123,G43,124:124)-SUMIF(123:123,C43,124:124)+100</f>
        <v>100</v>
      </c>
      <c r="I43" s="399" t="s">
        <v>3412</v>
      </c>
      <c r="J43" s="374">
        <f>SUMIF(123:123,I43,124:124)-SUMIF(123:123,C43,124:124)+100</f>
        <v>99</v>
      </c>
      <c r="K43" s="538">
        <v>1</v>
      </c>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99</v>
      </c>
      <c r="X43" s="1265"/>
      <c r="Y43" s="3373"/>
      <c r="Z43" s="1264" t="str">
        <f t="shared" si="15"/>
        <v>内部装修</v>
      </c>
      <c r="AA43" s="1264">
        <f t="shared" si="3"/>
        <v>1</v>
      </c>
      <c r="AB43" s="1264">
        <f t="shared" si="4"/>
        <v>1</v>
      </c>
      <c r="AC43" s="1812">
        <f t="shared" si="5"/>
        <v>1.0101010101010102</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1708</v>
      </c>
      <c r="B48" s="417"/>
      <c r="C48" s="1081" t="s">
        <v>0</v>
      </c>
      <c r="D48" s="418"/>
      <c r="E48" s="419">
        <v>7.8</v>
      </c>
      <c r="F48" s="420"/>
      <c r="G48" s="421">
        <v>7.8</v>
      </c>
      <c r="H48" s="422"/>
      <c r="I48" s="419">
        <v>8</v>
      </c>
      <c r="J48" s="422"/>
      <c r="K48" s="674"/>
      <c r="L48" s="2495"/>
      <c r="M48" s="2488"/>
      <c r="N48" s="2488"/>
      <c r="O48" s="2488"/>
      <c r="P48" s="3377" t="str">
        <f>A48</f>
        <v>成交单价（元/平方米）</v>
      </c>
      <c r="Q48" s="3366"/>
      <c r="R48" s="3367">
        <f>E48</f>
        <v>7.8</v>
      </c>
      <c r="S48" s="3367"/>
      <c r="T48" s="3367">
        <f>G48</f>
        <v>7.8</v>
      </c>
      <c r="U48" s="3367"/>
      <c r="V48" s="3367">
        <f>I48</f>
        <v>8</v>
      </c>
      <c r="W48" s="3367"/>
      <c r="X48" s="385"/>
      <c r="Y48" s="673"/>
      <c r="Z48" s="385"/>
      <c r="AA48" s="385"/>
      <c r="AB48" s="385"/>
      <c r="AC48" s="555"/>
    </row>
    <row r="49" spans="1:29" ht="15.75" thickBot="1">
      <c r="A49" s="423" t="s">
        <v>1793</v>
      </c>
      <c r="B49" s="424"/>
      <c r="C49" s="1082">
        <f>R50</f>
        <v>6.6</v>
      </c>
      <c r="D49" s="2141" t="s">
        <v>2138</v>
      </c>
      <c r="E49" s="1083">
        <f>R49</f>
        <v>6.5</v>
      </c>
      <c r="F49" s="2142"/>
      <c r="G49" s="1082">
        <f>T49</f>
        <v>6.5</v>
      </c>
      <c r="H49" s="2142"/>
      <c r="I49" s="1083">
        <f>V49</f>
        <v>6.8</v>
      </c>
      <c r="J49" s="2142"/>
      <c r="K49" s="2144">
        <f>F49+H49+J49</f>
        <v>0</v>
      </c>
      <c r="L49" s="2495"/>
      <c r="M49" s="2488"/>
      <c r="N49" s="2488"/>
      <c r="O49" s="2488"/>
      <c r="P49" s="3377" t="str">
        <f>A49</f>
        <v>比较价值（元/平方米）</v>
      </c>
      <c r="Q49" s="3366"/>
      <c r="R49" s="3367">
        <f>IF(F1="售价",ROUND(PRODUCT(R48,AA7:AA47),0),ROUND(PRODUCT(R48,AA7:AA47),1))</f>
        <v>6.5</v>
      </c>
      <c r="S49" s="3367"/>
      <c r="T49" s="3367">
        <f>IF(F1="售价",ROUND(PRODUCT(T48,AB7:AB47),0),ROUND(PRODUCT(T48,AB7:AB47),1))</f>
        <v>6.5</v>
      </c>
      <c r="U49" s="3367"/>
      <c r="V49" s="3367">
        <f>IF(F1="售价",ROUND(PRODUCT(V48,AC7:AC47),0),ROUND(PRODUCT(V48,AC7:AC47),1))</f>
        <v>6.8</v>
      </c>
      <c r="W49" s="3367"/>
      <c r="X49" s="385"/>
      <c r="Y49" s="385"/>
      <c r="Z49" s="385"/>
      <c r="AA49" s="385"/>
      <c r="AB49" s="385"/>
      <c r="AC49" s="555"/>
    </row>
    <row r="50" spans="1:29" ht="15.75" thickBot="1">
      <c r="A50" s="427" t="s">
        <v>1794</v>
      </c>
      <c r="B50" s="428"/>
      <c r="C50" s="351">
        <f>R50</f>
        <v>6.6</v>
      </c>
      <c r="D50" s="351"/>
      <c r="E50" s="351"/>
      <c r="F50" s="351"/>
      <c r="G50" s="351"/>
      <c r="H50" s="351"/>
      <c r="I50" s="351"/>
      <c r="J50" s="429"/>
      <c r="K50" s="675"/>
      <c r="L50" s="2495"/>
      <c r="M50" s="2488"/>
      <c r="N50" s="2488"/>
      <c r="O50" s="2488"/>
      <c r="P50" s="3408" t="str">
        <f>A50</f>
        <v>估价对象XX用房的比较价值（楼面单价，元/平方米）</v>
      </c>
      <c r="Q50" s="3409"/>
      <c r="R50" s="3410">
        <f>IF(F1="售价",ROUND(IF(D49="简单平均",AVERAGE(R49:V49),R49*F49+T49*H49+V49*J49),0),ROUND(IF(D49="简单平均",AVERAGE(R49:V49),R49*F49+T49*H49+V49*J49),1))</f>
        <v>6.6</v>
      </c>
      <c r="S50" s="3410"/>
      <c r="T50" s="3410"/>
      <c r="U50" s="3410"/>
      <c r="V50" s="3410"/>
      <c r="W50" s="341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0.19999999999999996</v>
      </c>
      <c r="F53" s="435" t="str">
        <f>IF(OR(E53&gt;=0.3,E53&lt;=-0.3),"超过30%","")</f>
        <v/>
      </c>
      <c r="G53" s="434">
        <f>IF(G48&lt;G49,G49/G48-1,G48/G49-1)</f>
        <v>0.19999999999999996</v>
      </c>
      <c r="H53" s="435" t="str">
        <f>IF(OR(G53&gt;=0.3,G53&lt;=-0.3),"超过30%","")</f>
        <v/>
      </c>
      <c r="I53" s="434">
        <f>IF(I48&lt;I49,I49/I48-1,I48/I49-1)</f>
        <v>0.17647058823529416</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4.6153846153846212E-2</v>
      </c>
      <c r="H54" s="435" t="str">
        <f>IF(OR(G54&gt;=0.2,G54&lt;=-0.2),"超过20%","")</f>
        <v/>
      </c>
      <c r="I54" s="434">
        <f>IF(I49&lt;E49,E49/I49-1,I49/E49-1)</f>
        <v>4.6153846153846212E-2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2.5641025641025772E-2</v>
      </c>
      <c r="H55" s="435" t="str">
        <f>IF(OR(G55&gt;=0.3,G55&lt;=-0.3),"超过30%","")</f>
        <v/>
      </c>
      <c r="I55" s="434">
        <f>IF(I48&lt;E48,E48/I48-1,I48/E48-1)</f>
        <v>2.5641025641025772E-2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v>100</v>
      </c>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51"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可单独使用</v>
      </c>
      <c r="C71" s="3146" t="s">
        <v>3420</v>
      </c>
      <c r="D71" s="3146" t="s">
        <v>3419</v>
      </c>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v>105</v>
      </c>
      <c r="D72" s="467">
        <v>100</v>
      </c>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6" t="s">
        <v>3425</v>
      </c>
      <c r="D89" s="3146" t="s">
        <v>3427</v>
      </c>
      <c r="E89" s="3146" t="s">
        <v>3429</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47" t="s">
        <v>3415</v>
      </c>
      <c r="D101" s="3147" t="s">
        <v>3417</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v>150</v>
      </c>
      <c r="G104" s="6">
        <v>200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101</v>
      </c>
      <c r="E105" s="467">
        <f t="shared" ref="E105:G105" si="24">D105+1</f>
        <v>102</v>
      </c>
      <c r="F105" s="467">
        <f t="shared" si="24"/>
        <v>103</v>
      </c>
      <c r="G105" s="467">
        <f t="shared" si="24"/>
        <v>104</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46" t="s">
        <v>3411</v>
      </c>
      <c r="D123" s="3146" t="s">
        <v>3413</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860"/>
      <c r="M5" s="861"/>
      <c r="N5" s="861"/>
      <c r="O5" s="861"/>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4"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66"/>
      <c r="Q10" s="530" t="str">
        <f t="shared" si="6"/>
        <v>土地使用年限（年）</v>
      </c>
      <c r="R10" s="664" t="s">
        <v>14</v>
      </c>
      <c r="S10" s="665">
        <f t="shared" si="0"/>
        <v>122</v>
      </c>
      <c r="T10" s="664" t="s">
        <v>14</v>
      </c>
      <c r="U10" s="665">
        <f t="shared" si="1"/>
        <v>122</v>
      </c>
      <c r="V10" s="664" t="s">
        <v>14</v>
      </c>
      <c r="W10" s="665">
        <f t="shared" si="2"/>
        <v>122</v>
      </c>
      <c r="X10" s="666"/>
      <c r="Y10" s="324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4"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27" t="e">
        <f>ROUND(IF(D47="简单平均",AVERAGE(R47:W47),R47*F47+T47*H47+V47*J47),0)</f>
        <v>#DIV/0!</v>
      </c>
      <c r="S48" s="3427"/>
      <c r="T48" s="3427"/>
      <c r="U48" s="3427"/>
      <c r="V48" s="3427"/>
      <c r="W48" s="342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41.09</v>
      </c>
      <c r="F56" s="833" t="e">
        <f t="shared" ref="F56:F64" si="15">ROUND(B56*E56/10000,0)</f>
        <v>#DIV/0!</v>
      </c>
      <c r="G56" s="3377"/>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41.09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ht="15">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75" thickBot="1">
      <c r="A6" s="350"/>
      <c r="B6" s="351"/>
      <c r="C6" s="3429" t="s">
        <v>1919</v>
      </c>
      <c r="D6" s="3430"/>
      <c r="E6" s="3431" t="s">
        <v>1919</v>
      </c>
      <c r="F6" s="3432"/>
      <c r="G6" s="3429" t="s">
        <v>1919</v>
      </c>
      <c r="H6" s="3430"/>
      <c r="I6" s="3429" t="s">
        <v>1919</v>
      </c>
      <c r="J6" s="3430"/>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75" thickBot="1">
      <c r="A7" s="352" t="s">
        <v>1679</v>
      </c>
      <c r="B7" s="353"/>
      <c r="C7" s="354">
        <f>'数据-取费表'!B2</f>
        <v>45642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66"/>
      <c r="Q10" s="530" t="str">
        <f t="shared" si="6"/>
        <v>土地使用年限（年）</v>
      </c>
      <c r="R10" s="664" t="s">
        <v>14</v>
      </c>
      <c r="S10" s="665">
        <f t="shared" si="0"/>
        <v>122</v>
      </c>
      <c r="T10" s="664" t="s">
        <v>14</v>
      </c>
      <c r="U10" s="665">
        <f t="shared" si="1"/>
        <v>122</v>
      </c>
      <c r="V10" s="664" t="s">
        <v>14</v>
      </c>
      <c r="W10" s="665">
        <f t="shared" si="2"/>
        <v>122</v>
      </c>
      <c r="X10" s="666"/>
      <c r="Y10" s="324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4"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27" t="e">
        <f>ROUND(IF(D42="简单平均",AVERAGE(R42:W42),R42*F42+T42*H42+V42*J42),0)</f>
        <v>#DIV/0!</v>
      </c>
      <c r="S43" s="3427"/>
      <c r="T43" s="3427"/>
      <c r="U43" s="3427"/>
      <c r="V43" s="3427"/>
      <c r="W43" s="342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1" t="s">
        <v>1887</v>
      </c>
      <c r="H50" s="342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41.09</v>
      </c>
      <c r="F51" s="611" t="e">
        <f t="shared" ref="F51:F60" si="15">ROUND(B51*E51/10000,0)</f>
        <v>#DIV/0!</v>
      </c>
      <c r="G51" s="3377"/>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118</v>
      </c>
      <c r="C2" s="1984" t="s">
        <v>2074</v>
      </c>
      <c r="D2" s="1984" t="s">
        <v>2075</v>
      </c>
      <c r="E2" s="2398">
        <f ca="1">SUMIF(E6:E13,"&lt;&gt;#ref!",E6:E13)</f>
        <v>41.09</v>
      </c>
      <c r="F2" s="2545"/>
      <c r="G2" s="2545"/>
      <c r="H2" s="2545"/>
      <c r="I2" s="2545"/>
      <c r="J2" s="2545"/>
      <c r="K2" s="2545"/>
      <c r="L2" s="2545"/>
      <c r="M2" s="2545"/>
      <c r="N2" s="2545"/>
      <c r="O2" s="2545"/>
      <c r="P2" s="2545"/>
    </row>
    <row r="3" spans="1:16" ht="15.75">
      <c r="A3" s="1984" t="s">
        <v>2076</v>
      </c>
      <c r="B3" s="2388">
        <f ca="1">ROUND(B2*10000/E2,0)</f>
        <v>28717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118</v>
      </c>
      <c r="C6" s="1984" t="s">
        <v>2074</v>
      </c>
      <c r="D6" s="2545"/>
      <c r="E6" s="2398">
        <f ca="1">SUMIF(INDIRECT("'"&amp;A6&amp;"'"&amp;"!C:C"),"建筑面积",INDIRECT("'"&amp;A6&amp;"'"&amp;"!D:D"))</f>
        <v>41.09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F38" sqref="F3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178.74789999999999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43502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1223003</v>
      </c>
      <c r="D5" s="203" t="s">
        <v>1469</v>
      </c>
      <c r="E5" s="204" t="s">
        <v>1470</v>
      </c>
      <c r="F5" s="204" t="s">
        <v>1471</v>
      </c>
      <c r="G5" s="205"/>
    </row>
    <row r="6" spans="1:8" s="206" customFormat="1" ht="13.5" customHeight="1">
      <c r="A6" s="732" t="s">
        <v>1472</v>
      </c>
      <c r="B6" s="207" t="s">
        <v>1473</v>
      </c>
      <c r="C6" s="208">
        <f>ROUND(基准地价修正!C33*基准地价修正!D33,0)</f>
        <v>1178831</v>
      </c>
      <c r="D6" s="209"/>
      <c r="E6" s="210"/>
      <c r="F6" s="210"/>
      <c r="G6" s="211"/>
    </row>
    <row r="7" spans="1:8" s="206" customFormat="1" ht="13.5" customHeight="1">
      <c r="A7" s="732" t="s">
        <v>1474</v>
      </c>
      <c r="B7" s="207" t="s">
        <v>1475</v>
      </c>
      <c r="C7" s="212">
        <f>ROUND(C6*F7,0)</f>
        <v>35954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8218</v>
      </c>
      <c r="D8" s="214"/>
      <c r="E8" s="212"/>
      <c r="F8" s="213"/>
      <c r="G8" s="1714" t="s">
        <v>3404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8218</v>
      </c>
      <c r="D10" s="795">
        <f ca="1">IF(B1="",'数据-汇总表'!E6,IF(INDIRECT("'数据-取费表'!c"&amp;$G$1)="住宅",INDIRECT("'数据-取费表'!s"&amp;$G$1),INDIRECT("'数据-取费表'!k"&amp;$G$1)+INDIRECT("'数据-取费表'!s"&amp;$G$1)))</f>
        <v>41.09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41.09</v>
      </c>
      <c r="E19" s="203">
        <f>'数据-取费表'!B31</f>
        <v>200</v>
      </c>
      <c r="F19" s="223"/>
      <c r="G19" s="1714" t="s">
        <v>3405</v>
      </c>
    </row>
    <row r="20" spans="1:7" s="206" customFormat="1" ht="13.5" customHeight="1">
      <c r="A20" s="247" t="s">
        <v>1574</v>
      </c>
      <c r="B20" s="202" t="s">
        <v>1575</v>
      </c>
      <c r="C20" s="224">
        <f ca="1">ROUND((C5+C19)*F20,0)</f>
        <v>24460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53733</v>
      </c>
      <c r="D22" s="227">
        <f ca="1">C26</f>
        <v>4.0000000000000002E-4</v>
      </c>
      <c r="E22" s="228" t="s">
        <v>1579</v>
      </c>
      <c r="F22" s="229">
        <f ca="1">'数据-取费表'!B40</f>
        <v>4.3499999999999997E-2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53201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532</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187119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187119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1611952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180796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164360</v>
      </c>
      <c r="D34" s="209"/>
      <c r="E34" s="212"/>
      <c r="F34" s="249"/>
      <c r="G34" s="211"/>
    </row>
    <row r="35" spans="1:7" ht="13.5" customHeight="1">
      <c r="A35" s="734" t="s">
        <v>351</v>
      </c>
      <c r="B35" s="207" t="s">
        <v>1527</v>
      </c>
      <c r="C35" s="212">
        <f ca="1">ROUND(C34*F35,0)</f>
        <v>4931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8218</v>
      </c>
      <c r="D37" s="209">
        <f ca="1">D19</f>
        <v>41.09</v>
      </c>
      <c r="E37" s="241">
        <f>'数据-取费表'!B35</f>
        <v>200</v>
      </c>
      <c r="F37" s="251"/>
      <c r="G37" s="253"/>
    </row>
    <row r="38" spans="1:7" ht="13.5" customHeight="1">
      <c r="A38" s="734" t="s">
        <v>354</v>
      </c>
      <c r="B38" s="207" t="s">
        <v>1533</v>
      </c>
      <c r="C38" s="212">
        <f ca="1">ROUND(C34*F38,0)</f>
        <v>3287</v>
      </c>
      <c r="D38" s="212"/>
      <c r="E38" s="212"/>
      <c r="F38" s="251">
        <f>'数据-取费表'!B36</f>
        <v>0.02</v>
      </c>
      <c r="G38" s="211" t="s">
        <v>1528</v>
      </c>
    </row>
    <row r="39" spans="1:7" s="206" customFormat="1" ht="13.5" customHeight="1">
      <c r="A39" s="247" t="s">
        <v>1534</v>
      </c>
      <c r="B39" s="202" t="s">
        <v>1535</v>
      </c>
      <c r="C39" s="224">
        <f ca="1">ROUND(C33*F20,0)</f>
        <v>3616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4011</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3932</v>
      </c>
      <c r="D42" s="230"/>
      <c r="E42" s="230"/>
      <c r="F42" s="231"/>
      <c r="G42" s="3334" t="s">
        <v>1591</v>
      </c>
    </row>
    <row r="43" spans="1:7" ht="13.5" customHeight="1">
      <c r="A43" s="734" t="s">
        <v>347</v>
      </c>
      <c r="B43" s="207" t="s">
        <v>1545</v>
      </c>
      <c r="C43" s="230">
        <f ca="1">ROUND(IF('数据-取费表'!B22&lt;=1,C39*F22*'数据-取费表'!B20/2,C39*(POWER((1+F22),'数据-取费表'!B20/2)-1)),0)</f>
        <v>79</v>
      </c>
      <c r="D43" s="230"/>
      <c r="E43" s="230"/>
      <c r="F43" s="231"/>
      <c r="G43" s="3335"/>
    </row>
    <row r="44" spans="1:7" ht="13.5" customHeight="1">
      <c r="A44" s="734" t="s">
        <v>348</v>
      </c>
      <c r="B44" s="207" t="s">
        <v>1546</v>
      </c>
      <c r="C44" s="230">
        <f ca="1">ROUND(IF('数据-取费表'!B22&lt;=1,C40*F22*'数据-取费表'!B20/2,C40*(POWER((1+F22),'数据-取费表'!B20/2)-1)),4)</f>
        <v>4.0000000000000002E-4</v>
      </c>
      <c r="D44" s="230"/>
      <c r="E44" s="230"/>
      <c r="F44" s="231"/>
      <c r="G44" s="3336"/>
    </row>
    <row r="45" spans="1:7" s="206" customFormat="1" ht="13.5" customHeight="1">
      <c r="A45" s="247" t="s">
        <v>1547</v>
      </c>
      <c r="B45" s="236" t="s">
        <v>1513</v>
      </c>
      <c r="C45" s="237">
        <f ca="1">C46</f>
        <v>27662</v>
      </c>
      <c r="D45" s="227">
        <f ca="1">C47</f>
        <v>3.0000000000000001E-3</v>
      </c>
      <c r="E45" s="228" t="s">
        <v>1539</v>
      </c>
      <c r="F45" s="238">
        <f ca="1">F27</f>
        <v>0.15</v>
      </c>
      <c r="G45" s="239" t="s">
        <v>1548</v>
      </c>
    </row>
    <row r="46" spans="1:7" s="206" customFormat="1" ht="13.5" customHeight="1">
      <c r="A46" s="734" t="s">
        <v>346</v>
      </c>
      <c r="B46" s="240" t="s">
        <v>1549</v>
      </c>
      <c r="C46" s="241">
        <f ca="1">ROUND((C33+C39)*F27,0)</f>
        <v>27662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234036</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175527</v>
      </c>
      <c r="D51" s="224"/>
      <c r="E51" s="224"/>
      <c r="F51" s="256"/>
      <c r="G51" s="226" t="s">
        <v>1560</v>
      </c>
    </row>
    <row r="52" spans="1:7" s="200" customFormat="1" ht="16.5" thickBot="1">
      <c r="A52" s="257" t="s">
        <v>1561</v>
      </c>
      <c r="B52" s="258"/>
      <c r="C52" s="259">
        <f ca="1">C31+C51</f>
        <v>1787479</v>
      </c>
      <c r="D52" s="258"/>
      <c r="E52" s="258"/>
      <c r="F52" s="258"/>
      <c r="G52" s="260"/>
    </row>
    <row r="55" spans="1:7" ht="15">
      <c r="B55" s="262" t="s">
        <v>1562</v>
      </c>
      <c r="C55" s="263"/>
    </row>
    <row r="56" spans="1:7">
      <c r="B56" s="265" t="s">
        <v>802</v>
      </c>
      <c r="C56" s="267">
        <f ca="1">1-C57</f>
        <v>0.90200000000000002</v>
      </c>
    </row>
    <row r="57" spans="1:7">
      <c r="B57" s="265" t="s">
        <v>803</v>
      </c>
      <c r="C57" s="266">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41.09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118</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Ⅱ—04</v>
      </c>
      <c r="J2" s="1842"/>
      <c r="K2" s="1056"/>
      <c r="L2" s="1847" t="s">
        <v>1939</v>
      </c>
      <c r="M2" s="811">
        <f>SUMPRODUCT((区片价!B10:B29=I2)*(区片价!C3:G3=E2)*(区片价!C10:G29))</f>
        <v>27660</v>
      </c>
      <c r="N2" s="813">
        <f>SUMPRODUCT((因素修正幅度!B10:B29=I2)*(因素修正幅度!C3:G3=E2)*(因素修正幅度!C10:G29))</f>
        <v>9.1999999999999998E-2</v>
      </c>
      <c r="O2" s="1056"/>
      <c r="P2" s="1056"/>
      <c r="Q2" s="1056"/>
      <c r="R2" s="1129">
        <v>1</v>
      </c>
      <c r="S2" s="3064">
        <f>ROUND(SUMPRODUCT((B106:B110=R2)*(C105:N105=G2)*(C106:N110)),4)</f>
        <v>1.5206</v>
      </c>
      <c r="T2" s="3064">
        <f t="shared" ref="T2:T16" si="0">ROUND($C$5*$C$22*$C$23*$C$24*S2*$C$28,0)</f>
        <v>37449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28717</v>
      </c>
      <c r="C3" s="1846" t="s">
        <v>1941</v>
      </c>
      <c r="D3" s="162" t="s">
        <v>1942</v>
      </c>
      <c r="E3" s="3119" t="s">
        <v>3391</v>
      </c>
      <c r="F3" s="1848" t="s">
        <v>3441</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29731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6"/>
      <c r="B4" s="3447"/>
      <c r="C4" s="3447"/>
      <c r="D4" s="3448"/>
      <c r="E4" s="3448"/>
      <c r="F4" s="3448"/>
      <c r="G4" s="3448"/>
      <c r="H4" s="3448"/>
      <c r="I4" s="3448"/>
      <c r="J4" s="34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25689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27629</v>
      </c>
      <c r="D5" s="1252">
        <f>ROUND(C6*C17+C20,0)</f>
        <v>27629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23246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22155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5"/>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3239</v>
      </c>
      <c r="B12" s="3014" t="s">
        <v>3240</v>
      </c>
      <c r="C12" s="3015">
        <v>1</v>
      </c>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3249</v>
      </c>
      <c r="E18" s="2357"/>
      <c r="F18" s="3031" t="s">
        <v>3252</v>
      </c>
      <c r="G18" s="3035">
        <f>ROUND(1-(1/(POWER(1+G24,E18))),4)</f>
        <v>0</v>
      </c>
      <c r="H18" s="3031" t="s">
        <v>3254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0" t="s">
        <v>3255</v>
      </c>
      <c r="B20" s="159" t="s">
        <v>1994</v>
      </c>
      <c r="C20" s="3032">
        <f>ROUND(IF(F21="与级别开发程度一致",0,(G21-E21)/C21),0)</f>
        <v>-31</v>
      </c>
      <c r="D20" s="3047" t="s">
        <v>1998</v>
      </c>
      <c r="E20" s="3048"/>
      <c r="F20" s="3456" t="s">
        <v>1995</v>
      </c>
      <c r="G20" s="3457"/>
      <c r="H20" s="3033" t="s">
        <v>3432</v>
      </c>
      <c r="I20" s="3033" t="s">
        <v>3431</v>
      </c>
      <c r="J20" s="3034" t="s">
        <v>3433</v>
      </c>
      <c r="K20" s="1889" t="s">
        <v>3434</v>
      </c>
      <c r="L20" s="1889" t="s">
        <v>3435</v>
      </c>
      <c r="M20" s="1889" t="s">
        <v>3436</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3430</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2002</v>
      </c>
      <c r="E23" s="717">
        <v>44197</v>
      </c>
      <c r="F23" s="1896" t="s">
        <v>2003</v>
      </c>
      <c r="G23" s="718">
        <f>'数据-取费表'!B2</f>
        <v>45642</v>
      </c>
      <c r="H23" s="3049" t="s">
        <v>3257</v>
      </c>
      <c r="I23" s="3050" t="str">
        <f>IF(H23="季度增幅（自定义）",SUMIF(N25:N28,E2,O25:O28),"")</f>
        <v/>
      </c>
      <c r="J23" s="3142" t="s">
        <v>3256</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0.84060000000000001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28.52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3336</v>
      </c>
      <c r="C25" s="461">
        <f>IF(B25="容积率修正",IF(G3&lt;10,D26,J26),C27)</f>
        <v>1.1649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1.1649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1.1649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1.1649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118</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28689</v>
      </c>
      <c r="D33" s="1940">
        <f>'数据-汇总表'!F19</f>
        <v>41.09</v>
      </c>
      <c r="E33" s="727">
        <f>ROUND(C33*D33/10000,0)</f>
        <v>118</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7172</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4.3499999999999997E-2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4"/>
      <c r="B37" s="1955" t="s">
        <v>2036</v>
      </c>
      <c r="C37" s="167">
        <f>ROUND(D5*C22*C23*C24*C28*F37,0)</f>
        <v>17240</v>
      </c>
      <c r="D37" s="1940"/>
      <c r="E37" s="163">
        <f>ROUND(C37*D37/10000,0)</f>
        <v>0</v>
      </c>
      <c r="F37" s="163">
        <f>SUMIF(修正!A57:A68,G2,修正!B57:B68)</f>
        <v>0.7</v>
      </c>
      <c r="G37" s="163">
        <f>ROUND(IF(E2="工业",C37*$M$42,C37*$M$41),0)</f>
        <v>4310</v>
      </c>
      <c r="H37" s="163">
        <f>D37</f>
        <v>0</v>
      </c>
      <c r="I37" s="163">
        <f>ROUND(G37*H37/10000,0)</f>
        <v>0</v>
      </c>
      <c r="J37" s="2755"/>
      <c r="K37" s="3062" t="s">
        <v>3267</v>
      </c>
      <c r="L37" s="1964">
        <f ca="1">L36+K38</f>
        <v>4.8499999999999995E-2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5"/>
      <c r="B38" s="1884" t="s">
        <v>2037</v>
      </c>
      <c r="C38" s="167">
        <f>ROUND(D5*C22*C23*C24*C28*F38,0)</f>
        <v>9851</v>
      </c>
      <c r="D38" s="1940"/>
      <c r="E38" s="163">
        <f t="shared" ref="E38:E42" si="4">ROUND(C38*D38/10000,0)</f>
        <v>0</v>
      </c>
      <c r="F38" s="163">
        <f>SUMIF(修正!A57:A68,G2,修正!C57:C68)</f>
        <v>0.4</v>
      </c>
      <c r="G38" s="163">
        <f>ROUND(IF(E2="工业",C38*$M$42,C38*$M$41),0)</f>
        <v>2463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5"/>
      <c r="B39" s="1884" t="s">
        <v>3260</v>
      </c>
      <c r="C39" s="167">
        <f>ROUND(D5*C22*C23*C24*C28*F39,0)</f>
        <v>7388</v>
      </c>
      <c r="D39" s="1940"/>
      <c r="E39" s="163">
        <f t="shared" si="4"/>
        <v>0</v>
      </c>
      <c r="F39" s="163">
        <f>SUMIF(修正!A57:A68,G2,修正!D57:D68)</f>
        <v>0.3</v>
      </c>
      <c r="G39" s="163">
        <f>ROUND(IF(E2="工业",C39*$M$42,C39*$M$41),0)</f>
        <v>1847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7388</v>
      </c>
      <c r="D40" s="1940"/>
      <c r="E40" s="163">
        <f t="shared" si="4"/>
        <v>0</v>
      </c>
      <c r="F40" s="167">
        <f>SUMIF(修正!A57:A68,G2,修正!E57:E68)</f>
        <v>0.3</v>
      </c>
      <c r="G40" s="163">
        <f>ROUND(IF(E2="工业",C40*$M$42,C40*$M$41),0)</f>
        <v>1847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3409</v>
      </c>
      <c r="D61" s="1002">
        <f t="shared" ref="D61:D69" si="12">SUMIF($J$60:$N$60,C61,J61:N61)</f>
        <v>1.15E-2</v>
      </c>
      <c r="E61" s="702">
        <f>ROUND(SUM(D61:D69),4)</f>
        <v>5.21E-2</v>
      </c>
      <c r="F61" s="1675">
        <f>IF(E2="办公",SUMIF(L1:L12,G2,N1:N12),"——")</f>
        <v>9.1999999999999998E-2</v>
      </c>
      <c r="G61" s="1000">
        <v>1.15E-2</v>
      </c>
      <c r="H61" s="1003">
        <f t="shared" ref="H61:H69" si="13">IFERROR(ROUNDDOWN($F$61*I61/2,4),"——")</f>
        <v>1.15E-2</v>
      </c>
      <c r="I61" s="3069">
        <v>0.25</v>
      </c>
      <c r="J61" s="1001">
        <f t="shared" ref="J61:J69" si="14">K61+$G61</f>
        <v>2.3E-2</v>
      </c>
      <c r="K61" s="1001">
        <f t="shared" ref="K61:K69" si="15">$L61+$G61</f>
        <v>1.15E-2</v>
      </c>
      <c r="L61" s="1001">
        <v>0</v>
      </c>
      <c r="M61" s="1001">
        <f t="shared" ref="M61:N69" si="16">L61-$G61</f>
        <v>-1.15E-2</v>
      </c>
      <c r="N61" s="1001">
        <f t="shared" si="16"/>
        <v>-2.3E-2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3409</v>
      </c>
      <c r="D62" s="1002">
        <f t="shared" si="12"/>
        <v>1.1900000000000001E-2</v>
      </c>
      <c r="E62" s="703"/>
      <c r="F62" s="1675"/>
      <c r="G62" s="1000">
        <v>1.1900000000000001E-2</v>
      </c>
      <c r="H62" s="1003">
        <f t="shared" si="13"/>
        <v>1.1900000000000001E-2</v>
      </c>
      <c r="I62" s="3069">
        <v>0.26</v>
      </c>
      <c r="J62" s="1001">
        <f t="shared" si="14"/>
        <v>2.3800000000000002E-2</v>
      </c>
      <c r="K62" s="1001">
        <f t="shared" si="15"/>
        <v>1.1900000000000001E-2</v>
      </c>
      <c r="L62" s="1001">
        <v>0</v>
      </c>
      <c r="M62" s="1001">
        <f t="shared" si="16"/>
        <v>-1.1900000000000001E-2</v>
      </c>
      <c r="N62" s="1001">
        <f t="shared" si="16"/>
        <v>-2.3800000000000002E-2</v>
      </c>
      <c r="AA62" s="1057"/>
      <c r="AB62" s="1057"/>
      <c r="AC62" s="1057"/>
      <c r="AD62" s="1057"/>
      <c r="AE62" s="1057"/>
      <c r="AF62" s="1057"/>
      <c r="AG62" s="1057"/>
      <c r="AH62" s="1057"/>
      <c r="AI62" s="1057"/>
      <c r="AJ62" s="1057"/>
      <c r="AK62" s="1057"/>
    </row>
    <row r="63" spans="1:37" s="1056" customFormat="1" ht="36">
      <c r="A63" s="3071" t="s">
        <v>3270</v>
      </c>
      <c r="B63" s="1262">
        <f>估价对象房地状况!C19</f>
        <v>0</v>
      </c>
      <c r="C63" s="1887" t="s">
        <v>3409</v>
      </c>
      <c r="D63" s="1002">
        <f t="shared" si="12"/>
        <v>5.0000000000000001E-3</v>
      </c>
      <c r="E63" s="703"/>
      <c r="F63" s="1675"/>
      <c r="G63" s="1000">
        <v>5.0000000000000001E-3</v>
      </c>
      <c r="H63" s="1003">
        <f t="shared" si="13"/>
        <v>5.0000000000000001E-3</v>
      </c>
      <c r="I63" s="3069">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6.75">
      <c r="A64" s="1970" t="s">
        <v>2054</v>
      </c>
      <c r="B64" s="1974" t="s">
        <v>2055</v>
      </c>
      <c r="C64" s="1887" t="s">
        <v>3409</v>
      </c>
      <c r="D64" s="1002">
        <f t="shared" si="12"/>
        <v>2.3E-3</v>
      </c>
      <c r="E64" s="703"/>
      <c r="F64" s="1675"/>
      <c r="G64" s="1000">
        <v>2.3E-3</v>
      </c>
      <c r="H64" s="1003">
        <f t="shared" si="13"/>
        <v>2.3E-3</v>
      </c>
      <c r="I64" s="3069">
        <v>0.05</v>
      </c>
      <c r="J64" s="1001">
        <f t="shared" si="14"/>
        <v>4.5999999999999999E-3</v>
      </c>
      <c r="K64" s="1001">
        <f t="shared" si="15"/>
        <v>2.3E-3</v>
      </c>
      <c r="L64" s="1001">
        <v>0</v>
      </c>
      <c r="M64" s="1001">
        <f t="shared" si="16"/>
        <v>-2.3E-3</v>
      </c>
      <c r="N64" s="1001">
        <f t="shared" si="16"/>
        <v>-4.5999999999999999E-3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3421</v>
      </c>
      <c r="D65" s="1002">
        <f t="shared" si="12"/>
        <v>4.5999999999999999E-3</v>
      </c>
      <c r="E65" s="703"/>
      <c r="F65" s="1675"/>
      <c r="G65" s="1000">
        <v>2.3E-3</v>
      </c>
      <c r="H65" s="1003">
        <f t="shared" si="13"/>
        <v>2.3E-3</v>
      </c>
      <c r="I65" s="3069">
        <v>0.05</v>
      </c>
      <c r="J65" s="1001">
        <f t="shared" si="14"/>
        <v>4.5999999999999999E-3</v>
      </c>
      <c r="K65" s="1001">
        <f t="shared" si="15"/>
        <v>2.3E-3</v>
      </c>
      <c r="L65" s="1001">
        <v>0</v>
      </c>
      <c r="M65" s="1001">
        <f t="shared" si="16"/>
        <v>-2.3E-3</v>
      </c>
      <c r="N65" s="1001">
        <f t="shared" si="16"/>
        <v>-4.5999999999999999E-3</v>
      </c>
      <c r="AA65" s="1057"/>
      <c r="AB65" s="1057"/>
      <c r="AC65" s="1057"/>
      <c r="AD65" s="1057"/>
      <c r="AE65" s="1057"/>
      <c r="AF65" s="1057"/>
      <c r="AG65" s="1057"/>
      <c r="AH65" s="1057"/>
      <c r="AI65" s="1057"/>
      <c r="AJ65" s="1057"/>
      <c r="AK65" s="1057"/>
    </row>
    <row r="66" spans="1:37" s="1056" customFormat="1" ht="24">
      <c r="A66" s="1970" t="s">
        <v>2057</v>
      </c>
      <c r="B66" s="1975" t="s">
        <v>2058</v>
      </c>
      <c r="C66" s="1887" t="s">
        <v>3409</v>
      </c>
      <c r="D66" s="1002">
        <f t="shared" si="12"/>
        <v>2.7000000000000001E-3</v>
      </c>
      <c r="E66" s="703"/>
      <c r="F66" s="1675"/>
      <c r="G66" s="1000">
        <v>2.7000000000000001E-3</v>
      </c>
      <c r="H66" s="1003">
        <f t="shared" si="13"/>
        <v>2.7000000000000001E-3</v>
      </c>
      <c r="I66" s="3069">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3409</v>
      </c>
      <c r="D67" s="1002">
        <f t="shared" si="12"/>
        <v>2.7000000000000001E-3</v>
      </c>
      <c r="E67" s="703"/>
      <c r="F67" s="1675"/>
      <c r="G67" s="1000">
        <v>2.7000000000000001E-3</v>
      </c>
      <c r="H67" s="1003">
        <f t="shared" si="13"/>
        <v>2.7000000000000001E-3</v>
      </c>
      <c r="I67" s="3069">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3421</v>
      </c>
      <c r="D68" s="1002">
        <f t="shared" si="12"/>
        <v>8.2000000000000007E-3</v>
      </c>
      <c r="E68" s="703"/>
      <c r="F68" s="1675"/>
      <c r="G68" s="1000">
        <v>4.1000000000000003E-3</v>
      </c>
      <c r="H68" s="1003">
        <f t="shared" si="13"/>
        <v>4.1000000000000003E-3</v>
      </c>
      <c r="I68" s="3069">
        <v>0.09</v>
      </c>
      <c r="J68" s="1001">
        <f t="shared" si="14"/>
        <v>8.2000000000000007E-3</v>
      </c>
      <c r="K68" s="1001">
        <f t="shared" si="15"/>
        <v>4.1000000000000003E-3</v>
      </c>
      <c r="L68" s="1001">
        <v>0</v>
      </c>
      <c r="M68" s="1001">
        <f t="shared" si="16"/>
        <v>-4.1000000000000003E-3</v>
      </c>
      <c r="N68" s="1001">
        <f t="shared" si="16"/>
        <v>-8.2000000000000007E-3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3409</v>
      </c>
      <c r="D69" s="1002">
        <f t="shared" si="12"/>
        <v>3.2000000000000002E-3</v>
      </c>
      <c r="E69" s="704"/>
      <c r="F69" s="1675"/>
      <c r="G69" s="1000">
        <v>3.2000000000000002E-3</v>
      </c>
      <c r="H69" s="1003">
        <f t="shared" si="13"/>
        <v>3.2000000000000002E-3</v>
      </c>
      <c r="I69" s="3070">
        <v>7.0000000000000007E-2</v>
      </c>
      <c r="J69" s="1001">
        <f t="shared" si="14"/>
        <v>6.4000000000000003E-3</v>
      </c>
      <c r="K69" s="1001">
        <f t="shared" si="15"/>
        <v>3.2000000000000002E-3</v>
      </c>
      <c r="L69" s="1001">
        <v>0</v>
      </c>
      <c r="M69" s="1001">
        <f t="shared" si="16"/>
        <v>-3.2000000000000002E-3</v>
      </c>
      <c r="N69" s="1001">
        <f t="shared" si="16"/>
        <v>-6.4000000000000003E-3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2613</v>
      </c>
      <c r="B91" s="3080">
        <f>1+E93</f>
        <v>1</v>
      </c>
      <c r="C91" s="3073"/>
      <c r="D91" s="3074"/>
      <c r="E91" s="1675"/>
      <c r="F91" s="1675"/>
      <c r="G91" s="3075"/>
      <c r="H91" s="3076"/>
      <c r="I91" s="3077"/>
      <c r="J91" s="3078"/>
      <c r="K91" s="3078"/>
      <c r="L91" s="3078"/>
      <c r="M91" s="3078"/>
      <c r="N91" s="3078"/>
    </row>
    <row r="92" spans="1:37" ht="24.75">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2" t="s">
        <v>3295</v>
      </c>
      <c r="B103" s="3452"/>
      <c r="C103" s="3452"/>
      <c r="D103" s="3452"/>
      <c r="E103" s="3452"/>
      <c r="F103" s="3452"/>
      <c r="G103" s="3452"/>
      <c r="H103" s="3452"/>
      <c r="I103" s="3452"/>
      <c r="J103" s="3452"/>
      <c r="K103" s="1667"/>
      <c r="L103" s="1667"/>
      <c r="M103" s="1667"/>
      <c r="N103" s="1667"/>
    </row>
    <row r="104" spans="1:14">
      <c r="A104" s="3453" t="s">
        <v>3296</v>
      </c>
      <c r="B104" s="3453" t="s">
        <v>3297</v>
      </c>
      <c r="C104" s="3091" t="s">
        <v>3298</v>
      </c>
      <c r="D104" s="3092"/>
      <c r="E104" s="3092"/>
      <c r="F104" s="3092"/>
      <c r="G104" s="3092"/>
      <c r="H104" s="3092"/>
      <c r="I104" s="3092"/>
      <c r="J104" s="3093"/>
      <c r="K104" s="3094"/>
      <c r="L104" s="3094"/>
      <c r="M104" s="3094"/>
      <c r="N104" s="3094"/>
    </row>
    <row r="105" spans="1:14">
      <c r="A105" s="3453"/>
      <c r="B105" s="3453"/>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39"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0"/>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2" t="s">
        <v>3312</v>
      </c>
      <c r="B113" s="3442"/>
      <c r="C113" s="3442"/>
      <c r="D113" s="3442"/>
      <c r="E113" s="3442"/>
      <c r="F113" s="3442"/>
      <c r="G113" s="3442"/>
      <c r="H113" s="3442"/>
      <c r="I113" s="3442"/>
      <c r="J113" s="344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3313</v>
      </c>
      <c r="B116" s="3115">
        <f>G3</f>
        <v>1.5</v>
      </c>
      <c r="C116" s="3100" t="s">
        <v>3314</v>
      </c>
      <c r="D116" s="3101">
        <f>SUMPRODUCT((A118:A122=F116)*(B117:M117=H116)*B118:M122)</f>
        <v>0.97619999999999996</v>
      </c>
      <c r="E116" s="162" t="s">
        <v>3315</v>
      </c>
      <c r="F116" s="3102" t="str">
        <f>E2</f>
        <v>办公</v>
      </c>
      <c r="G116" s="162" t="s">
        <v>3316</v>
      </c>
      <c r="H116" s="3102" t="str">
        <f>G2</f>
        <v>二级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5"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37C3-564E-4D95-9381-597F7868D61D}">
  <dimension ref="O1:Z36"/>
  <sheetViews>
    <sheetView topLeftCell="B1" workbookViewId="0">
      <selection activeCell="D66" sqref="D66"/>
    </sheetView>
  </sheetViews>
  <sheetFormatPr defaultRowHeight="13.5"/>
  <sheetData>
    <row r="1" spans="24:24">
      <c r="X1" s="3145" t="s">
        <v>3390</v>
      </c>
    </row>
    <row r="23" spans="26:26">
      <c r="Z23" s="3145" t="s">
        <v>3390</v>
      </c>
    </row>
    <row r="36" spans="15:15">
      <c r="O36" s="3145" t="s">
        <v>3407</v>
      </c>
    </row>
  </sheetData>
  <phoneticPr fontId="134" type="noConversion"/>
  <hyperlinks>
    <hyperlink ref="Z23" r:id="rId1" display="https://www.jishujiaoyi.cn/" xr:uid="{7692994B-9EBF-421D-B6C4-01BC0ED85A41}"/>
    <hyperlink ref="X1" r:id="rId2" display="https://www.jishujiaoyi.cn/" xr:uid="{F912E9F8-C9FF-4BAC-B699-B20169704A3E}"/>
    <hyperlink ref="O36" r:id="rId3" display="https://shangye.lianjia.com/bj/xzl_rent.html?query_content=%E4%B8%AD%E5%9B%BD%E6%8A%80%E6%9C%AF%E4%BA%A4%E6%98%93%E5%A4%A7%E5%8E%A6" xr:uid="{FBF32C28-BF85-4D09-8504-837669E3051B}"/>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7" t="s">
        <v>2608</v>
      </c>
      <c r="B20" s="3462" t="s">
        <v>2629</v>
      </c>
      <c r="C20" s="2843" t="s">
        <v>2440</v>
      </c>
      <c r="D20" s="2844"/>
      <c r="E20" s="2845">
        <v>1</v>
      </c>
      <c r="F20" s="2846" t="s">
        <v>2441</v>
      </c>
      <c r="G20" s="2846"/>
    </row>
    <row r="21" spans="1:13" ht="19.5" customHeight="1">
      <c r="A21" s="3468"/>
      <c r="B21" s="3461"/>
      <c r="C21" s="2847" t="s">
        <v>2442</v>
      </c>
      <c r="D21" s="2848"/>
      <c r="E21" s="2849">
        <v>1</v>
      </c>
      <c r="F21" s="2846" t="s">
        <v>2443</v>
      </c>
      <c r="G21" s="2846"/>
    </row>
    <row r="22" spans="1:13" ht="19.5" customHeight="1">
      <c r="A22" s="3468"/>
      <c r="B22" s="3461"/>
      <c r="C22" s="2847" t="s">
        <v>2444</v>
      </c>
      <c r="D22" s="2848"/>
      <c r="E22" s="2849">
        <v>0.9</v>
      </c>
      <c r="F22" s="2846" t="s">
        <v>2445</v>
      </c>
      <c r="G22" s="2846"/>
    </row>
    <row r="23" spans="1:13" ht="19.5" customHeight="1">
      <c r="A23" s="3468"/>
      <c r="B23" s="3461"/>
      <c r="C23" s="2847" t="s">
        <v>2446</v>
      </c>
      <c r="D23" s="2848"/>
      <c r="E23" s="2849">
        <v>0.9</v>
      </c>
      <c r="F23" s="2846" t="s">
        <v>2447</v>
      </c>
      <c r="G23" s="2846"/>
    </row>
    <row r="24" spans="1:13" ht="19.5" customHeight="1">
      <c r="A24" s="3468"/>
      <c r="B24" s="3461"/>
      <c r="C24" s="2847" t="s">
        <v>2448</v>
      </c>
      <c r="D24" s="2848"/>
      <c r="E24" s="2849">
        <v>0.8</v>
      </c>
      <c r="F24" s="2846" t="s">
        <v>2449</v>
      </c>
      <c r="G24" s="2846"/>
    </row>
    <row r="25" spans="1:13" ht="19.5" customHeight="1" thickBot="1">
      <c r="A25" s="3469"/>
      <c r="B25" s="3463"/>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4" t="s">
        <v>2632</v>
      </c>
      <c r="B27" s="3462" t="s">
        <v>2613</v>
      </c>
      <c r="C27" s="2843" t="s">
        <v>2453</v>
      </c>
      <c r="D27" s="2844"/>
      <c r="E27" s="2845">
        <v>1</v>
      </c>
      <c r="F27" s="2846" t="s">
        <v>2454</v>
      </c>
      <c r="G27" s="2846"/>
    </row>
    <row r="28" spans="1:13" ht="19.5" customHeight="1">
      <c r="A28" s="3465"/>
      <c r="B28" s="3461"/>
      <c r="C28" s="2847" t="s">
        <v>2455</v>
      </c>
      <c r="D28" s="2848"/>
      <c r="E28" s="2849">
        <v>1</v>
      </c>
      <c r="F28" s="2846" t="s">
        <v>2456</v>
      </c>
      <c r="G28" s="2846"/>
    </row>
    <row r="29" spans="1:13" ht="19.5" customHeight="1">
      <c r="A29" s="3465"/>
      <c r="B29" s="3461"/>
      <c r="C29" s="2847" t="s">
        <v>2457</v>
      </c>
      <c r="D29" s="2848"/>
      <c r="E29" s="2849">
        <v>0.8</v>
      </c>
      <c r="F29" s="2846" t="s">
        <v>2458</v>
      </c>
      <c r="G29" s="2846"/>
    </row>
    <row r="30" spans="1:13" ht="19.5" customHeight="1">
      <c r="A30" s="3465"/>
      <c r="B30" s="3461"/>
      <c r="C30" s="2847" t="s">
        <v>2459</v>
      </c>
      <c r="D30" s="2848"/>
      <c r="E30" s="2849">
        <v>0.8</v>
      </c>
      <c r="F30" s="2846" t="s">
        <v>2460</v>
      </c>
      <c r="G30" s="2846"/>
    </row>
    <row r="31" spans="1:13" ht="19.5" customHeight="1">
      <c r="A31" s="3465"/>
      <c r="B31" s="3461"/>
      <c r="C31" s="2847" t="s">
        <v>2461</v>
      </c>
      <c r="D31" s="2848"/>
      <c r="E31" s="2849">
        <v>0.8</v>
      </c>
      <c r="F31" s="2846" t="s">
        <v>2462</v>
      </c>
      <c r="G31" s="2846"/>
    </row>
    <row r="32" spans="1:13" ht="19.5" customHeight="1">
      <c r="A32" s="3465"/>
      <c r="B32" s="3461"/>
      <c r="C32" s="2847" t="s">
        <v>2463</v>
      </c>
      <c r="D32" s="2848"/>
      <c r="E32" s="2849">
        <v>0.7</v>
      </c>
      <c r="F32" s="2846" t="s">
        <v>2464</v>
      </c>
      <c r="G32" s="2846"/>
    </row>
    <row r="33" spans="1:7" ht="19.5" customHeight="1">
      <c r="A33" s="3465"/>
      <c r="B33" s="3461"/>
      <c r="C33" s="2847" t="s">
        <v>2465</v>
      </c>
      <c r="D33" s="2848"/>
      <c r="E33" s="2849">
        <v>0.8</v>
      </c>
      <c r="F33" s="2846" t="s">
        <v>2466</v>
      </c>
      <c r="G33" s="2846"/>
    </row>
    <row r="34" spans="1:7" ht="19.5" customHeight="1">
      <c r="A34" s="3465"/>
      <c r="B34" s="3461"/>
      <c r="C34" s="2847" t="s">
        <v>2467</v>
      </c>
      <c r="D34" s="2848"/>
      <c r="E34" s="2849">
        <v>0.6</v>
      </c>
      <c r="F34" s="2846" t="s">
        <v>2468</v>
      </c>
      <c r="G34" s="2846"/>
    </row>
    <row r="35" spans="1:7" ht="19.5" customHeight="1">
      <c r="A35" s="3465"/>
      <c r="B35" s="3461"/>
      <c r="C35" s="2847" t="s">
        <v>2469</v>
      </c>
      <c r="D35" s="2848"/>
      <c r="E35" s="2849">
        <v>0.2</v>
      </c>
      <c r="F35" s="2846" t="s">
        <v>2470</v>
      </c>
      <c r="G35" s="2846"/>
    </row>
    <row r="36" spans="1:7" ht="19.5" customHeight="1">
      <c r="A36" s="3465"/>
      <c r="B36" s="3461"/>
      <c r="C36" s="2847" t="s">
        <v>2471</v>
      </c>
      <c r="D36" s="2848"/>
      <c r="E36" s="2849">
        <v>0.2</v>
      </c>
      <c r="F36" s="2846" t="s">
        <v>2472</v>
      </c>
      <c r="G36" s="2846"/>
    </row>
    <row r="37" spans="1:7" ht="19.5" customHeight="1">
      <c r="A37" s="3465"/>
      <c r="B37" s="3459" t="s">
        <v>2633</v>
      </c>
      <c r="C37" s="2847" t="s">
        <v>2473</v>
      </c>
      <c r="D37" s="2848"/>
      <c r="E37" s="2849">
        <v>0.6</v>
      </c>
      <c r="F37" s="2846" t="s">
        <v>2474</v>
      </c>
      <c r="G37" s="2846"/>
    </row>
    <row r="38" spans="1:7" ht="19.5" customHeight="1">
      <c r="A38" s="3465"/>
      <c r="B38" s="3461"/>
      <c r="C38" s="2847" t="s">
        <v>2475</v>
      </c>
      <c r="D38" s="2848"/>
      <c r="E38" s="2849">
        <v>0.6</v>
      </c>
      <c r="F38" s="2846" t="s">
        <v>2476</v>
      </c>
      <c r="G38" s="2846"/>
    </row>
    <row r="39" spans="1:7" ht="19.5" customHeight="1" thickBot="1">
      <c r="A39" s="3466"/>
      <c r="B39" s="3463"/>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7" t="s">
        <v>2611</v>
      </c>
      <c r="B41" s="3462" t="s">
        <v>2635</v>
      </c>
      <c r="C41" s="2843" t="s">
        <v>2480</v>
      </c>
      <c r="D41" s="2844"/>
      <c r="E41" s="2845">
        <v>1</v>
      </c>
      <c r="F41" s="2846" t="s">
        <v>2481</v>
      </c>
      <c r="G41" s="2846"/>
    </row>
    <row r="42" spans="1:7" ht="19.5" customHeight="1">
      <c r="A42" s="3468"/>
      <c r="B42" s="3461"/>
      <c r="C42" s="2847" t="s">
        <v>2482</v>
      </c>
      <c r="D42" s="2848"/>
      <c r="E42" s="2849">
        <v>1</v>
      </c>
      <c r="F42" s="2846" t="s">
        <v>2483</v>
      </c>
      <c r="G42" s="2846"/>
    </row>
    <row r="43" spans="1:7" ht="19.5" customHeight="1">
      <c r="A43" s="3468"/>
      <c r="B43" s="3460"/>
      <c r="C43" s="2847" t="s">
        <v>2484</v>
      </c>
      <c r="D43" s="2848"/>
      <c r="E43" s="2849">
        <v>1.5</v>
      </c>
      <c r="F43" s="2846" t="s">
        <v>2485</v>
      </c>
      <c r="G43" s="2846"/>
    </row>
    <row r="44" spans="1:7" ht="19.5" customHeight="1">
      <c r="A44" s="3468"/>
      <c r="B44" s="2858" t="s">
        <v>2636</v>
      </c>
      <c r="C44" s="2847" t="s">
        <v>2637</v>
      </c>
      <c r="D44" s="2848"/>
      <c r="E44" s="2849">
        <v>2</v>
      </c>
      <c r="F44" s="2846" t="s">
        <v>2486</v>
      </c>
      <c r="G44" s="2846"/>
    </row>
    <row r="45" spans="1:7" ht="19.5" customHeight="1">
      <c r="A45" s="3468"/>
      <c r="B45" s="3459" t="s">
        <v>2638</v>
      </c>
      <c r="C45" s="2847" t="s">
        <v>2487</v>
      </c>
      <c r="D45" s="2848"/>
      <c r="E45" s="2849">
        <v>1</v>
      </c>
      <c r="F45" s="2846" t="s">
        <v>2488</v>
      </c>
      <c r="G45" s="2846"/>
    </row>
    <row r="46" spans="1:7" ht="19.5" customHeight="1">
      <c r="A46" s="3468"/>
      <c r="B46" s="3461"/>
      <c r="C46" s="2847" t="s">
        <v>2489</v>
      </c>
      <c r="D46" s="2848"/>
      <c r="E46" s="2849">
        <v>1</v>
      </c>
      <c r="F46" s="2846" t="s">
        <v>2490</v>
      </c>
      <c r="G46" s="2846"/>
    </row>
    <row r="47" spans="1:7" ht="19.5" customHeight="1">
      <c r="A47" s="3468"/>
      <c r="B47" s="3461"/>
      <c r="C47" s="2847" t="s">
        <v>2491</v>
      </c>
      <c r="D47" s="2848"/>
      <c r="E47" s="2849">
        <v>1</v>
      </c>
      <c r="F47" s="2846" t="s">
        <v>2492</v>
      </c>
      <c r="G47" s="2846"/>
    </row>
    <row r="48" spans="1:7" ht="19.5" customHeight="1">
      <c r="A48" s="3468"/>
      <c r="B48" s="3461"/>
      <c r="C48" s="2847" t="s">
        <v>2493</v>
      </c>
      <c r="D48" s="2848"/>
      <c r="E48" s="2849">
        <v>1</v>
      </c>
      <c r="F48" s="2846" t="s">
        <v>2494</v>
      </c>
      <c r="G48" s="2846"/>
    </row>
    <row r="49" spans="1:7" ht="19.5" customHeight="1">
      <c r="A49" s="3468"/>
      <c r="B49" s="3461"/>
      <c r="C49" s="2847" t="s">
        <v>2495</v>
      </c>
      <c r="D49" s="2848"/>
      <c r="E49" s="2849">
        <v>1</v>
      </c>
      <c r="F49" s="2846" t="s">
        <v>2496</v>
      </c>
      <c r="G49" s="2846"/>
    </row>
    <row r="50" spans="1:7" ht="19.5" customHeight="1">
      <c r="A50" s="3468"/>
      <c r="B50" s="3461"/>
      <c r="C50" s="2847" t="s">
        <v>2497</v>
      </c>
      <c r="D50" s="2848"/>
      <c r="E50" s="2849">
        <v>1</v>
      </c>
      <c r="F50" s="2846" t="s">
        <v>2498</v>
      </c>
      <c r="G50" s="2846"/>
    </row>
    <row r="51" spans="1:7" ht="19.5" customHeight="1" thickBot="1">
      <c r="A51" s="3469"/>
      <c r="B51" s="3463"/>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3.5">
      <c r="A72" s="2858"/>
      <c r="B72" s="2858"/>
      <c r="C72" s="2858" t="s">
        <v>2651</v>
      </c>
      <c r="D72" s="2858"/>
      <c r="E72" s="2858" t="s">
        <v>2622</v>
      </c>
      <c r="F72" s="2858" t="s">
        <v>2622</v>
      </c>
    </row>
    <row r="73" spans="1:7" ht="13.5">
      <c r="A73" s="2858">
        <v>1</v>
      </c>
      <c r="B73" s="3459" t="s">
        <v>2652</v>
      </c>
      <c r="C73" s="2832" t="s">
        <v>2653</v>
      </c>
      <c r="D73" s="2832" t="s">
        <v>2654</v>
      </c>
      <c r="E73" s="2858">
        <v>0.2</v>
      </c>
      <c r="F73" s="2858">
        <v>25</v>
      </c>
    </row>
    <row r="74" spans="1:7" ht="24">
      <c r="A74" s="2858">
        <v>2</v>
      </c>
      <c r="B74" s="3461"/>
      <c r="C74" s="2832" t="s">
        <v>2655</v>
      </c>
      <c r="D74" s="2832" t="s">
        <v>2656</v>
      </c>
      <c r="E74" s="2858">
        <v>0.2</v>
      </c>
      <c r="F74" s="2858">
        <v>25</v>
      </c>
    </row>
    <row r="75" spans="1:7" ht="24">
      <c r="A75" s="2858">
        <v>3</v>
      </c>
      <c r="B75" s="3461"/>
      <c r="C75" s="2832" t="s">
        <v>2657</v>
      </c>
      <c r="D75" s="2832" t="s">
        <v>2658</v>
      </c>
      <c r="E75" s="2858">
        <v>0.2</v>
      </c>
      <c r="F75" s="2858">
        <v>25</v>
      </c>
    </row>
    <row r="76" spans="1:7" ht="13.5">
      <c r="A76" s="2858">
        <v>4</v>
      </c>
      <c r="B76" s="3461"/>
      <c r="C76" s="2832" t="s">
        <v>2659</v>
      </c>
      <c r="D76" s="2832" t="s">
        <v>2660</v>
      </c>
      <c r="E76" s="2858">
        <v>0.15</v>
      </c>
      <c r="F76" s="2858">
        <v>20</v>
      </c>
    </row>
    <row r="77" spans="1:7" ht="24">
      <c r="A77" s="2858">
        <v>5</v>
      </c>
      <c r="B77" s="3461"/>
      <c r="C77" s="2832" t="s">
        <v>2661</v>
      </c>
      <c r="D77" s="2832" t="s">
        <v>2662</v>
      </c>
      <c r="E77" s="2858">
        <v>0.15</v>
      </c>
      <c r="F77" s="2858">
        <v>20</v>
      </c>
    </row>
    <row r="78" spans="1:7" ht="24">
      <c r="A78" s="2858">
        <v>6</v>
      </c>
      <c r="B78" s="3461"/>
      <c r="C78" s="2832" t="s">
        <v>2663</v>
      </c>
      <c r="D78" s="2832" t="s">
        <v>2664</v>
      </c>
      <c r="E78" s="2858">
        <v>0.15</v>
      </c>
      <c r="F78" s="2858">
        <v>20</v>
      </c>
    </row>
    <row r="79" spans="1:7" ht="24">
      <c r="A79" s="2858">
        <v>7</v>
      </c>
      <c r="B79" s="3461"/>
      <c r="C79" s="2832" t="s">
        <v>2665</v>
      </c>
      <c r="D79" s="2832" t="s">
        <v>2666</v>
      </c>
      <c r="E79" s="2858">
        <v>0.15</v>
      </c>
      <c r="F79" s="2858">
        <v>20</v>
      </c>
    </row>
    <row r="80" spans="1:7" ht="24">
      <c r="A80" s="2858">
        <v>8</v>
      </c>
      <c r="B80" s="3461"/>
      <c r="C80" s="2832" t="s">
        <v>2667</v>
      </c>
      <c r="D80" s="2832" t="s">
        <v>2668</v>
      </c>
      <c r="E80" s="2858">
        <v>0.1</v>
      </c>
      <c r="F80" s="2858">
        <v>15</v>
      </c>
    </row>
    <row r="81" spans="1:6" ht="24">
      <c r="A81" s="2858">
        <v>9</v>
      </c>
      <c r="B81" s="3461"/>
      <c r="C81" s="2832" t="s">
        <v>2669</v>
      </c>
      <c r="D81" s="2832" t="s">
        <v>2670</v>
      </c>
      <c r="E81" s="2858">
        <v>0.1</v>
      </c>
      <c r="F81" s="2858">
        <v>15</v>
      </c>
    </row>
    <row r="82" spans="1:6" ht="24">
      <c r="A82" s="2858">
        <v>10</v>
      </c>
      <c r="B82" s="3461"/>
      <c r="C82" s="2832" t="s">
        <v>2671</v>
      </c>
      <c r="D82" s="2832" t="s">
        <v>2672</v>
      </c>
      <c r="E82" s="2858">
        <v>0.1</v>
      </c>
      <c r="F82" s="2858">
        <v>15</v>
      </c>
    </row>
    <row r="83" spans="1:6" ht="24">
      <c r="A83" s="2858">
        <v>11</v>
      </c>
      <c r="B83" s="3461"/>
      <c r="C83" s="2832" t="s">
        <v>2673</v>
      </c>
      <c r="D83" s="2832" t="s">
        <v>2674</v>
      </c>
      <c r="E83" s="2858">
        <v>0.1</v>
      </c>
      <c r="F83" s="2858">
        <v>15</v>
      </c>
    </row>
    <row r="84" spans="1:6" ht="24">
      <c r="A84" s="2858">
        <v>12</v>
      </c>
      <c r="B84" s="3461"/>
      <c r="C84" s="2832" t="s">
        <v>2675</v>
      </c>
      <c r="D84" s="2832" t="s">
        <v>2676</v>
      </c>
      <c r="E84" s="2858">
        <v>0.1</v>
      </c>
      <c r="F84" s="2858">
        <v>15</v>
      </c>
    </row>
    <row r="85" spans="1:6" ht="13.5">
      <c r="A85" s="2858">
        <v>13</v>
      </c>
      <c r="B85" s="3461"/>
      <c r="C85" s="2832" t="s">
        <v>2677</v>
      </c>
      <c r="D85" s="2832" t="s">
        <v>2678</v>
      </c>
      <c r="E85" s="2858">
        <v>0.1</v>
      </c>
      <c r="F85" s="2858">
        <v>15</v>
      </c>
    </row>
    <row r="86" spans="1:6" ht="13.5">
      <c r="A86" s="2858">
        <v>14</v>
      </c>
      <c r="B86" s="3461"/>
      <c r="C86" s="2832" t="s">
        <v>2679</v>
      </c>
      <c r="D86" s="2832" t="s">
        <v>2680</v>
      </c>
      <c r="E86" s="2858">
        <v>0.1</v>
      </c>
      <c r="F86" s="2858">
        <v>15</v>
      </c>
    </row>
    <row r="87" spans="1:6" ht="13.5">
      <c r="A87" s="2858">
        <v>15</v>
      </c>
      <c r="B87" s="3461"/>
      <c r="C87" s="2832" t="s">
        <v>2681</v>
      </c>
      <c r="D87" s="2832" t="s">
        <v>2682</v>
      </c>
      <c r="E87" s="2858">
        <v>0.1</v>
      </c>
      <c r="F87" s="2858">
        <v>15</v>
      </c>
    </row>
    <row r="88" spans="1:6" ht="24">
      <c r="A88" s="2858">
        <v>16</v>
      </c>
      <c r="B88" s="3461"/>
      <c r="C88" s="2832" t="s">
        <v>2683</v>
      </c>
      <c r="D88" s="2832" t="s">
        <v>2684</v>
      </c>
      <c r="E88" s="2858">
        <v>0.1</v>
      </c>
      <c r="F88" s="2858">
        <v>15</v>
      </c>
    </row>
    <row r="89" spans="1:6" ht="24">
      <c r="A89" s="2858">
        <v>17</v>
      </c>
      <c r="B89" s="3460"/>
      <c r="C89" s="2832" t="s">
        <v>2685</v>
      </c>
      <c r="D89" s="2832" t="s">
        <v>2686</v>
      </c>
      <c r="E89" s="2858">
        <v>0.1</v>
      </c>
      <c r="F89" s="2858">
        <v>15</v>
      </c>
    </row>
    <row r="90" spans="1:6" ht="13.5">
      <c r="A90" s="2858">
        <v>18</v>
      </c>
      <c r="B90" s="3459" t="s">
        <v>2687</v>
      </c>
      <c r="C90" s="2832" t="s">
        <v>2688</v>
      </c>
      <c r="D90" s="2832" t="s">
        <v>2689</v>
      </c>
      <c r="E90" s="2858">
        <v>0.2</v>
      </c>
      <c r="F90" s="2858">
        <v>25</v>
      </c>
    </row>
    <row r="91" spans="1:6" ht="24">
      <c r="A91" s="2858">
        <v>19</v>
      </c>
      <c r="B91" s="3461"/>
      <c r="C91" s="2832" t="s">
        <v>2690</v>
      </c>
      <c r="D91" s="2832" t="s">
        <v>2691</v>
      </c>
      <c r="E91" s="2858">
        <v>0.2</v>
      </c>
      <c r="F91" s="2858">
        <v>25</v>
      </c>
    </row>
    <row r="92" spans="1:6" ht="13.5">
      <c r="A92" s="2858">
        <v>20</v>
      </c>
      <c r="B92" s="3461"/>
      <c r="C92" s="2832" t="s">
        <v>2692</v>
      </c>
      <c r="D92" s="2832" t="s">
        <v>2693</v>
      </c>
      <c r="E92" s="2858">
        <v>0.15</v>
      </c>
      <c r="F92" s="2858">
        <v>20</v>
      </c>
    </row>
    <row r="93" spans="1:6" ht="13.5">
      <c r="A93" s="2858">
        <v>21</v>
      </c>
      <c r="B93" s="3461"/>
      <c r="C93" s="2832" t="s">
        <v>2694</v>
      </c>
      <c r="D93" s="2832" t="s">
        <v>2695</v>
      </c>
      <c r="E93" s="2858">
        <v>0.15</v>
      </c>
      <c r="F93" s="2858">
        <v>20</v>
      </c>
    </row>
    <row r="94" spans="1:6" ht="13.5">
      <c r="A94" s="2858">
        <v>22</v>
      </c>
      <c r="B94" s="3461"/>
      <c r="C94" s="2832" t="s">
        <v>2696</v>
      </c>
      <c r="D94" s="2832" t="s">
        <v>2697</v>
      </c>
      <c r="E94" s="2858">
        <v>0.15</v>
      </c>
      <c r="F94" s="2858">
        <v>20</v>
      </c>
    </row>
    <row r="95" spans="1:6" ht="36">
      <c r="A95" s="2858">
        <v>23</v>
      </c>
      <c r="B95" s="3461"/>
      <c r="C95" s="2832" t="s">
        <v>2698</v>
      </c>
      <c r="D95" s="2832" t="s">
        <v>2699</v>
      </c>
      <c r="E95" s="2858">
        <v>0.15</v>
      </c>
      <c r="F95" s="2858">
        <v>20</v>
      </c>
    </row>
    <row r="96" spans="1:6" ht="13.5">
      <c r="A96" s="2858">
        <v>24</v>
      </c>
      <c r="B96" s="3461"/>
      <c r="C96" s="2832" t="s">
        <v>2700</v>
      </c>
      <c r="D96" s="2832" t="s">
        <v>2701</v>
      </c>
      <c r="E96" s="2858">
        <v>0.1</v>
      </c>
      <c r="F96" s="2858">
        <v>15</v>
      </c>
    </row>
    <row r="97" spans="1:6" ht="13.5">
      <c r="A97" s="2858">
        <v>25</v>
      </c>
      <c r="B97" s="3461"/>
      <c r="C97" s="2832" t="s">
        <v>2702</v>
      </c>
      <c r="D97" s="2832" t="s">
        <v>2703</v>
      </c>
      <c r="E97" s="2858">
        <v>0.1</v>
      </c>
      <c r="F97" s="2858">
        <v>15</v>
      </c>
    </row>
    <row r="98" spans="1:6" ht="24">
      <c r="A98" s="2858">
        <v>26</v>
      </c>
      <c r="B98" s="3461"/>
      <c r="C98" s="2832" t="s">
        <v>2704</v>
      </c>
      <c r="D98" s="2832" t="s">
        <v>2705</v>
      </c>
      <c r="E98" s="2858">
        <v>0.1</v>
      </c>
      <c r="F98" s="2858">
        <v>15</v>
      </c>
    </row>
    <row r="99" spans="1:6" ht="24">
      <c r="A99" s="2858">
        <v>27</v>
      </c>
      <c r="B99" s="3461"/>
      <c r="C99" s="2832" t="s">
        <v>2706</v>
      </c>
      <c r="D99" s="2832" t="s">
        <v>2707</v>
      </c>
      <c r="E99" s="2858">
        <v>0.1</v>
      </c>
      <c r="F99" s="2858">
        <v>15</v>
      </c>
    </row>
    <row r="100" spans="1:6" ht="13.5">
      <c r="A100" s="2858">
        <v>28</v>
      </c>
      <c r="B100" s="3461"/>
      <c r="C100" s="2832" t="s">
        <v>2708</v>
      </c>
      <c r="D100" s="2832" t="s">
        <v>2709</v>
      </c>
      <c r="E100" s="2858">
        <v>0.1</v>
      </c>
      <c r="F100" s="2858">
        <v>15</v>
      </c>
    </row>
    <row r="101" spans="1:6" ht="13.5">
      <c r="A101" s="2858">
        <v>29</v>
      </c>
      <c r="B101" s="3461"/>
      <c r="C101" s="2832" t="s">
        <v>2710</v>
      </c>
      <c r="D101" s="2832" t="s">
        <v>2711</v>
      </c>
      <c r="E101" s="2858">
        <v>0.1</v>
      </c>
      <c r="F101" s="2858">
        <v>15</v>
      </c>
    </row>
    <row r="102" spans="1:6" ht="13.5">
      <c r="A102" s="2858">
        <v>30</v>
      </c>
      <c r="B102" s="3461"/>
      <c r="C102" s="2832" t="s">
        <v>2712</v>
      </c>
      <c r="D102" s="2832" t="s">
        <v>2713</v>
      </c>
      <c r="E102" s="2858">
        <v>0.1</v>
      </c>
      <c r="F102" s="2858">
        <v>15</v>
      </c>
    </row>
    <row r="103" spans="1:6" ht="24">
      <c r="A103" s="2858">
        <v>31</v>
      </c>
      <c r="B103" s="3461"/>
      <c r="C103" s="2832" t="s">
        <v>2714</v>
      </c>
      <c r="D103" s="2832" t="s">
        <v>2715</v>
      </c>
      <c r="E103" s="2858">
        <v>0.1</v>
      </c>
      <c r="F103" s="2858">
        <v>15</v>
      </c>
    </row>
    <row r="104" spans="1:6" ht="24">
      <c r="A104" s="2858">
        <v>32</v>
      </c>
      <c r="B104" s="3461"/>
      <c r="C104" s="2832" t="s">
        <v>2716</v>
      </c>
      <c r="D104" s="2832" t="s">
        <v>2717</v>
      </c>
      <c r="E104" s="2858">
        <v>0.1</v>
      </c>
      <c r="F104" s="2858">
        <v>15</v>
      </c>
    </row>
    <row r="105" spans="1:6" ht="24">
      <c r="A105" s="2858">
        <v>33</v>
      </c>
      <c r="B105" s="3461"/>
      <c r="C105" s="2832" t="s">
        <v>2718</v>
      </c>
      <c r="D105" s="2832" t="s">
        <v>2719</v>
      </c>
      <c r="E105" s="2858">
        <v>0.1</v>
      </c>
      <c r="F105" s="2858">
        <v>15</v>
      </c>
    </row>
    <row r="106" spans="1:6" ht="24">
      <c r="A106" s="2858">
        <v>34</v>
      </c>
      <c r="B106" s="3460"/>
      <c r="C106" s="2832" t="s">
        <v>2720</v>
      </c>
      <c r="D106" s="2832" t="s">
        <v>2721</v>
      </c>
      <c r="E106" s="2858">
        <v>0.1</v>
      </c>
      <c r="F106" s="2858">
        <v>15</v>
      </c>
    </row>
    <row r="107" spans="1:6" ht="24">
      <c r="A107" s="2858">
        <v>35</v>
      </c>
      <c r="B107" s="3459" t="s">
        <v>2722</v>
      </c>
      <c r="C107" s="2858" t="s">
        <v>2723</v>
      </c>
      <c r="D107" s="2832" t="s">
        <v>2724</v>
      </c>
      <c r="E107" s="2858">
        <v>0.15</v>
      </c>
      <c r="F107" s="2858">
        <v>20</v>
      </c>
    </row>
    <row r="108" spans="1:6" ht="13.5">
      <c r="A108" s="2858">
        <v>36</v>
      </c>
      <c r="B108" s="3461"/>
      <c r="C108" s="2858" t="s">
        <v>2725</v>
      </c>
      <c r="D108" s="2832" t="s">
        <v>2726</v>
      </c>
      <c r="E108" s="2858">
        <v>0.15</v>
      </c>
      <c r="F108" s="2858">
        <v>20</v>
      </c>
    </row>
    <row r="109" spans="1:6" ht="13.5">
      <c r="A109" s="2858">
        <v>37</v>
      </c>
      <c r="B109" s="3461"/>
      <c r="C109" s="2858" t="s">
        <v>2727</v>
      </c>
      <c r="D109" s="2832" t="s">
        <v>2728</v>
      </c>
      <c r="E109" s="2858">
        <v>0.15</v>
      </c>
      <c r="F109" s="2858">
        <v>20</v>
      </c>
    </row>
    <row r="110" spans="1:6" ht="13.5">
      <c r="A110" s="2858">
        <v>38</v>
      </c>
      <c r="B110" s="3461"/>
      <c r="C110" s="2858" t="s">
        <v>2729</v>
      </c>
      <c r="D110" s="2832" t="s">
        <v>2730</v>
      </c>
      <c r="E110" s="2858">
        <v>0.1</v>
      </c>
      <c r="F110" s="2858">
        <v>15</v>
      </c>
    </row>
    <row r="111" spans="1:6" ht="24">
      <c r="A111" s="2858">
        <v>39</v>
      </c>
      <c r="B111" s="3461"/>
      <c r="C111" s="2858" t="s">
        <v>2731</v>
      </c>
      <c r="D111" s="2832" t="s">
        <v>2732</v>
      </c>
      <c r="E111" s="2858">
        <v>0.1</v>
      </c>
      <c r="F111" s="2858">
        <v>15</v>
      </c>
    </row>
    <row r="112" spans="1:6" ht="24">
      <c r="A112" s="2858">
        <v>40</v>
      </c>
      <c r="B112" s="3460"/>
      <c r="C112" s="2858" t="s">
        <v>2733</v>
      </c>
      <c r="D112" s="2832" t="s">
        <v>2734</v>
      </c>
      <c r="E112" s="2858">
        <v>0.1</v>
      </c>
      <c r="F112" s="2858">
        <v>15</v>
      </c>
    </row>
    <row r="113" spans="1:6" ht="13.5">
      <c r="A113" s="2858">
        <v>41</v>
      </c>
      <c r="B113" s="3458" t="s">
        <v>2735</v>
      </c>
      <c r="C113" s="2858" t="s">
        <v>2736</v>
      </c>
      <c r="D113" s="2832" t="s">
        <v>2737</v>
      </c>
      <c r="E113" s="2858">
        <v>0.1</v>
      </c>
      <c r="F113" s="2858">
        <v>15</v>
      </c>
    </row>
    <row r="114" spans="1:6" ht="13.5">
      <c r="A114" s="2858">
        <v>42</v>
      </c>
      <c r="B114" s="3458"/>
      <c r="C114" s="2858" t="s">
        <v>2738</v>
      </c>
      <c r="D114" s="2832" t="s">
        <v>2739</v>
      </c>
      <c r="E114" s="2858">
        <v>0.1</v>
      </c>
      <c r="F114" s="2858">
        <v>15</v>
      </c>
    </row>
    <row r="115" spans="1:6" ht="24">
      <c r="A115" s="2858">
        <v>43</v>
      </c>
      <c r="B115" s="3458"/>
      <c r="C115" s="2858" t="s">
        <v>2740</v>
      </c>
      <c r="D115" s="2832" t="s">
        <v>2741</v>
      </c>
      <c r="E115" s="2858">
        <v>0.1</v>
      </c>
      <c r="F115" s="2858">
        <v>15</v>
      </c>
    </row>
    <row r="116" spans="1:6" ht="13.5">
      <c r="A116" s="2858">
        <v>44</v>
      </c>
      <c r="B116" s="3459" t="s">
        <v>2742</v>
      </c>
      <c r="C116" s="2858" t="s">
        <v>2743</v>
      </c>
      <c r="D116" s="2832" t="s">
        <v>2744</v>
      </c>
      <c r="E116" s="2858">
        <v>0.1</v>
      </c>
      <c r="F116" s="2858">
        <v>15</v>
      </c>
    </row>
    <row r="117" spans="1:6" ht="24">
      <c r="A117" s="2858">
        <v>45</v>
      </c>
      <c r="B117" s="3460"/>
      <c r="C117" s="2832" t="s">
        <v>2745</v>
      </c>
      <c r="D117" s="2832" t="s">
        <v>2746</v>
      </c>
      <c r="E117" s="2858">
        <v>0.1</v>
      </c>
      <c r="F117" s="2858">
        <v>15</v>
      </c>
    </row>
    <row r="118" spans="1:6" ht="24">
      <c r="A118" s="2858">
        <v>46</v>
      </c>
      <c r="B118" s="3459" t="s">
        <v>2747</v>
      </c>
      <c r="C118" s="2858" t="s">
        <v>2748</v>
      </c>
      <c r="D118" s="2832" t="s">
        <v>2749</v>
      </c>
      <c r="E118" s="2858">
        <v>0.1</v>
      </c>
      <c r="F118" s="2858">
        <v>15</v>
      </c>
    </row>
    <row r="119" spans="1:6" ht="24">
      <c r="A119" s="2858">
        <v>47</v>
      </c>
      <c r="B119" s="3460"/>
      <c r="C119" s="2858" t="s">
        <v>2750</v>
      </c>
      <c r="D119" s="2832" t="s">
        <v>2751</v>
      </c>
      <c r="E119" s="2858">
        <v>0.1</v>
      </c>
      <c r="F119" s="2858">
        <v>15</v>
      </c>
    </row>
    <row r="120" spans="1:6" ht="13.5">
      <c r="A120" s="2858">
        <v>48</v>
      </c>
      <c r="B120" s="3459" t="s">
        <v>2752</v>
      </c>
      <c r="C120" s="2858" t="s">
        <v>2753</v>
      </c>
      <c r="D120" s="2832" t="s">
        <v>2754</v>
      </c>
      <c r="E120" s="2858">
        <v>0.1</v>
      </c>
      <c r="F120" s="2858">
        <v>15</v>
      </c>
    </row>
    <row r="121" spans="1:6" ht="13.5">
      <c r="A121" s="2858">
        <v>49</v>
      </c>
      <c r="B121" s="3460"/>
      <c r="C121" s="2858" t="s">
        <v>2755</v>
      </c>
      <c r="D121" s="2832" t="s">
        <v>2756</v>
      </c>
      <c r="E121" s="2858">
        <v>0.1</v>
      </c>
      <c r="F121" s="2858">
        <v>15</v>
      </c>
    </row>
    <row r="122" spans="1:6" ht="24">
      <c r="A122" s="2858">
        <v>50</v>
      </c>
      <c r="B122" s="3458" t="s">
        <v>2757</v>
      </c>
      <c r="C122" s="2858" t="s">
        <v>2758</v>
      </c>
      <c r="D122" s="2832" t="s">
        <v>2759</v>
      </c>
      <c r="E122" s="2858">
        <v>0.1</v>
      </c>
      <c r="F122" s="2858">
        <v>15</v>
      </c>
    </row>
    <row r="123" spans="1:6" ht="24">
      <c r="A123" s="2858">
        <v>51</v>
      </c>
      <c r="B123" s="3458"/>
      <c r="C123" s="2858" t="s">
        <v>2760</v>
      </c>
      <c r="D123" s="2832" t="s">
        <v>2761</v>
      </c>
      <c r="E123" s="2858">
        <v>0.1</v>
      </c>
      <c r="F123" s="2858">
        <v>15</v>
      </c>
    </row>
    <row r="124" spans="1:6" ht="24">
      <c r="A124" s="2858">
        <v>52</v>
      </c>
      <c r="B124" s="3458" t="s">
        <v>2762</v>
      </c>
      <c r="C124" s="2858" t="s">
        <v>2763</v>
      </c>
      <c r="D124" s="2832" t="s">
        <v>2764</v>
      </c>
      <c r="E124" s="2858">
        <v>0.1</v>
      </c>
      <c r="F124" s="2858">
        <v>15</v>
      </c>
    </row>
    <row r="125" spans="1:6" ht="24">
      <c r="A125" s="2858">
        <v>53</v>
      </c>
      <c r="B125" s="3458"/>
      <c r="C125" s="2858" t="s">
        <v>2765</v>
      </c>
      <c r="D125" s="2832" t="s">
        <v>2766</v>
      </c>
      <c r="E125" s="2858">
        <v>0.1</v>
      </c>
      <c r="F125" s="2858">
        <v>15</v>
      </c>
    </row>
    <row r="126" spans="1:6" ht="13.5">
      <c r="A126" s="2858">
        <v>54</v>
      </c>
      <c r="B126" s="2858" t="s">
        <v>2767</v>
      </c>
      <c r="C126" s="2858" t="s">
        <v>2768</v>
      </c>
      <c r="D126" s="2832" t="s">
        <v>2769</v>
      </c>
      <c r="E126" s="2858">
        <v>0.1</v>
      </c>
      <c r="F126" s="2858">
        <v>15</v>
      </c>
    </row>
    <row r="127" spans="1:6" ht="13.5">
      <c r="A127" s="2858">
        <v>55</v>
      </c>
      <c r="B127" s="3458" t="s">
        <v>2770</v>
      </c>
      <c r="C127" s="2858" t="s">
        <v>2771</v>
      </c>
      <c r="D127" s="2832" t="s">
        <v>2772</v>
      </c>
      <c r="E127" s="2858">
        <v>0.1</v>
      </c>
      <c r="F127" s="2858">
        <v>15</v>
      </c>
    </row>
    <row r="128" spans="1:6" ht="13.5">
      <c r="A128" s="2858">
        <v>56</v>
      </c>
      <c r="B128" s="3458"/>
      <c r="C128" s="2858" t="s">
        <v>2773</v>
      </c>
      <c r="D128" s="2832" t="s">
        <v>2774</v>
      </c>
      <c r="E128" s="2858">
        <v>0.1</v>
      </c>
      <c r="F128" s="2858">
        <v>15</v>
      </c>
    </row>
    <row r="129" spans="1:6" ht="24">
      <c r="A129" s="2858">
        <v>57</v>
      </c>
      <c r="B129" s="3458"/>
      <c r="C129" s="2858" t="s">
        <v>2775</v>
      </c>
      <c r="D129" s="2832" t="s">
        <v>2776</v>
      </c>
      <c r="E129" s="2858">
        <v>0.1</v>
      </c>
      <c r="F129" s="2858">
        <v>15</v>
      </c>
    </row>
    <row r="130" spans="1:6" ht="24">
      <c r="A130" s="2858">
        <v>58</v>
      </c>
      <c r="B130" s="3458" t="s">
        <v>2777</v>
      </c>
      <c r="C130" s="2858" t="s">
        <v>2778</v>
      </c>
      <c r="D130" s="2832" t="s">
        <v>2779</v>
      </c>
      <c r="E130" s="2858">
        <v>0.1</v>
      </c>
      <c r="F130" s="2858">
        <v>15</v>
      </c>
    </row>
    <row r="131" spans="1:6" ht="13.5">
      <c r="A131" s="2858">
        <v>59</v>
      </c>
      <c r="B131" s="3458"/>
      <c r="C131" s="2858" t="s">
        <v>2780</v>
      </c>
      <c r="D131" s="2832" t="s">
        <v>2781</v>
      </c>
      <c r="E131" s="2858">
        <v>0.1</v>
      </c>
      <c r="F131" s="2858">
        <v>15</v>
      </c>
    </row>
    <row r="132" spans="1:6" ht="13.5">
      <c r="A132" s="2858">
        <v>60</v>
      </c>
      <c r="B132" s="3459" t="s">
        <v>2782</v>
      </c>
      <c r="C132" s="2858" t="s">
        <v>2783</v>
      </c>
      <c r="D132" s="2832" t="s">
        <v>2784</v>
      </c>
      <c r="E132" s="2858">
        <v>0.1</v>
      </c>
      <c r="F132" s="2858">
        <v>15</v>
      </c>
    </row>
    <row r="133" spans="1:6" ht="13.5">
      <c r="A133" s="2858">
        <v>61</v>
      </c>
      <c r="B133" s="3460"/>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13.5">
      <c r="A135" s="2858">
        <v>63</v>
      </c>
      <c r="B135" s="3458" t="s">
        <v>2790</v>
      </c>
      <c r="C135" s="2858" t="s">
        <v>2791</v>
      </c>
      <c r="D135" s="2832" t="s">
        <v>2792</v>
      </c>
      <c r="E135" s="2858">
        <v>0.1</v>
      </c>
      <c r="F135" s="2858">
        <v>15</v>
      </c>
    </row>
    <row r="136" spans="1:6" ht="13.5">
      <c r="A136" s="2858">
        <v>64</v>
      </c>
      <c r="B136" s="3458"/>
      <c r="C136" s="2858" t="s">
        <v>2793</v>
      </c>
      <c r="D136" s="2832" t="s">
        <v>2794</v>
      </c>
      <c r="E136" s="2858">
        <v>0.1</v>
      </c>
      <c r="F136" s="2858">
        <v>15</v>
      </c>
    </row>
    <row r="137" spans="1:6" ht="13.5">
      <c r="A137" s="2858">
        <v>65</v>
      </c>
      <c r="B137" s="2858" t="s">
        <v>2795</v>
      </c>
      <c r="C137" s="2858" t="s">
        <v>2796</v>
      </c>
      <c r="D137" s="2832" t="s">
        <v>2797</v>
      </c>
      <c r="E137" s="2858">
        <v>0.1</v>
      </c>
      <c r="F137" s="2858">
        <v>15</v>
      </c>
    </row>
    <row r="138" spans="1:6" ht="13.5">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1.1649</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1.1032999999999999</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估价结果一览表（市场价值不需“结果表-1”）</v>
      </c>
      <c r="B3" s="3158"/>
      <c r="C3" s="3158"/>
      <c r="D3" s="3158"/>
      <c r="E3" s="3158"/>
    </row>
    <row r="4" spans="1:5" ht="19.5" thickBot="1">
      <c r="A4" s="1391"/>
      <c r="B4" s="3156" t="s">
        <v>917</v>
      </c>
      <c r="C4" s="3156"/>
      <c r="D4" s="3156"/>
      <c r="E4" s="1391"/>
    </row>
    <row r="5" spans="1:5" ht="16.5" thickTop="1">
      <c r="B5" s="3154" t="s">
        <v>909</v>
      </c>
      <c r="C5" s="1392" t="s">
        <v>910</v>
      </c>
      <c r="D5" s="797" t="e">
        <f ca="1">结果表!H101</f>
        <v>#REF!</v>
      </c>
    </row>
    <row r="6" spans="1:5" ht="15.75">
      <c r="B6" s="3154"/>
      <c r="C6" s="1392" t="s">
        <v>911</v>
      </c>
      <c r="D6" s="797" t="e">
        <f ca="1">NUMBERSTRING(INT(D5*10000),2)&amp;"元整"</f>
        <v>#REF!</v>
      </c>
    </row>
    <row r="7" spans="1:5" ht="15.75">
      <c r="B7" s="3159"/>
      <c r="C7" s="1393" t="s">
        <v>912</v>
      </c>
      <c r="D7" s="798" t="e">
        <f ca="1">结果表!H102</f>
        <v>#REF!</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t="e">
        <f ca="1">结果表!H107</f>
        <v>#REF!</v>
      </c>
    </row>
    <row r="14" spans="1:5" ht="15.75">
      <c r="B14" s="3154"/>
      <c r="C14" s="1392" t="s">
        <v>911</v>
      </c>
      <c r="D14" s="797" t="e">
        <f ca="1">NUMBERSTRING(INT(D13*10000),2)&amp;"元整"</f>
        <v>#REF!</v>
      </c>
    </row>
    <row r="15" spans="1:5" ht="15">
      <c r="B15" s="3159"/>
      <c r="C15" s="1393" t="s">
        <v>921</v>
      </c>
      <c r="D15" s="806" t="e">
        <f ca="1">结果表!H108</f>
        <v>#REF!</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27184</v>
      </c>
      <c r="C2" s="2" t="s">
        <v>106</v>
      </c>
      <c r="D2" s="191"/>
      <c r="E2" s="191"/>
      <c r="F2" s="191"/>
      <c r="G2" s="191"/>
    </row>
    <row r="3" spans="1:7" s="192" customFormat="1" ht="18" customHeight="1" thickBot="1">
      <c r="A3" s="195" t="s">
        <v>58</v>
      </c>
      <c r="B3" s="196">
        <f ca="1">ROUND(B2*10000/'数据-汇总表'!E3,0)</f>
        <v>6615722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41.09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4.3499999999999997E-2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27167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41.09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4.0000000000000002E-4</v>
      </c>
      <c r="D44" s="230"/>
      <c r="E44" s="230"/>
      <c r="F44" s="231"/>
      <c r="G44" s="3336"/>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27184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2" t="s">
        <v>2840</v>
      </c>
      <c r="B1" s="3472"/>
      <c r="C1" s="3472"/>
      <c r="D1" s="3472"/>
      <c r="E1" s="3472"/>
      <c r="F1" s="3472"/>
      <c r="G1" s="3473"/>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2"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70"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2" thickBot="1">
      <c r="A4" s="3471"/>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2"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2"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2"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2"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4" t="s">
        <v>3182</v>
      </c>
      <c r="B1" s="3474"/>
    </row>
    <row r="2" spans="1:7" ht="14.25" thickBot="1">
      <c r="A2" s="2969"/>
      <c r="B2" s="2969"/>
    </row>
    <row r="3" spans="1:7" ht="14.25" thickBot="1">
      <c r="A3" s="2969"/>
      <c r="B3" s="2969"/>
      <c r="C3" s="2970" t="s">
        <v>2812</v>
      </c>
      <c r="D3" s="2970" t="s">
        <v>2868</v>
      </c>
      <c r="E3" s="2970" t="s">
        <v>2814</v>
      </c>
      <c r="F3" s="2970" t="s">
        <v>2869</v>
      </c>
      <c r="G3" s="2970" t="s">
        <v>2632</v>
      </c>
    </row>
    <row r="4" spans="1:7" ht="14.2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4.2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4.2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4.2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4.2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4.2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4.2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4.2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4.2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4.2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4.2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5" t="s">
        <v>3233</v>
      </c>
      <c r="B1" s="3475"/>
      <c r="C1" s="3475"/>
      <c r="D1" s="3475"/>
      <c r="E1" s="3475"/>
      <c r="F1" s="3476"/>
    </row>
    <row r="2" spans="1:6" ht="14.25">
      <c r="A2" s="3003" t="s">
        <v>3234</v>
      </c>
    </row>
    <row r="3" spans="1:6" ht="14.25">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45642</v>
      </c>
      <c r="B1" s="2930" t="s">
        <v>3383</v>
      </c>
      <c r="C1" s="2931"/>
      <c r="D1" s="2931"/>
      <c r="E1" s="2931"/>
      <c r="F1" s="2931"/>
      <c r="G1" s="2931"/>
      <c r="H1" s="2931"/>
      <c r="I1" s="2931"/>
      <c r="J1" s="2897"/>
      <c r="K1" s="2931" t="s">
        <v>454</v>
      </c>
      <c r="L1" s="2931"/>
      <c r="M1" s="2931"/>
      <c r="N1" s="2931"/>
      <c r="O1" s="2931"/>
      <c r="P1" s="2931"/>
      <c r="Q1" s="2897"/>
      <c r="R1" s="3477" t="s">
        <v>456</v>
      </c>
      <c r="S1" s="3478"/>
      <c r="T1" s="3478"/>
      <c r="U1" s="3478"/>
      <c r="V1" s="3478"/>
      <c r="W1" s="3478"/>
      <c r="X1" s="2897"/>
      <c r="Y1" s="3477" t="s">
        <v>457</v>
      </c>
      <c r="Z1" s="3478"/>
      <c r="AA1" s="3478"/>
      <c r="AB1" s="3478"/>
      <c r="AC1" s="3478"/>
      <c r="AD1" s="3478"/>
    </row>
    <row r="2" spans="1:30" s="2010" customFormat="1" ht="14.2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2.75">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3386</v>
      </c>
    </row>
    <row r="24" spans="1:30">
      <c r="I24" s="1405" t="s">
        <v>2826</v>
      </c>
    </row>
    <row r="26" spans="1:30" s="2009" customFormat="1" ht="12.75">
      <c r="B26" s="2930" t="s">
        <v>3384</v>
      </c>
      <c r="C26" s="2931"/>
      <c r="D26" s="2931"/>
      <c r="E26" s="2931"/>
      <c r="F26" s="2931"/>
      <c r="G26" s="2931"/>
      <c r="H26" s="2931"/>
      <c r="I26" s="2931"/>
      <c r="J26" s="2897"/>
      <c r="K26" s="2931" t="s">
        <v>2827</v>
      </c>
      <c r="L26" s="2931"/>
      <c r="M26" s="2931"/>
      <c r="N26" s="2931"/>
      <c r="O26" s="2931"/>
      <c r="P26" s="2931"/>
      <c r="Q26" s="2897"/>
      <c r="R26" s="3477" t="s">
        <v>2828</v>
      </c>
      <c r="S26" s="3478"/>
      <c r="T26" s="3478"/>
      <c r="U26" s="3478"/>
      <c r="V26" s="3478"/>
      <c r="W26" s="3478"/>
      <c r="X26" s="2897"/>
      <c r="Y26" s="3477" t="s">
        <v>2829</v>
      </c>
      <c r="Z26" s="3478"/>
      <c r="AA26" s="3478"/>
      <c r="AB26" s="3478"/>
      <c r="AC26" s="3478"/>
      <c r="AD26" s="3478"/>
    </row>
    <row r="27" spans="1:30" s="2010" customFormat="1" ht="14.2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2.75">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45642</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41.09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6" t="s">
        <v>927</v>
      </c>
      <c r="B5" s="3166"/>
      <c r="C5" s="3166"/>
      <c r="D5" s="3166" t="e">
        <f ca="1">结果表!D119</f>
        <v>#REF!</v>
      </c>
      <c r="E5" s="3166"/>
      <c r="F5" s="3166" t="e">
        <f ca="1">结果表!F119</f>
        <v>#REF!</v>
      </c>
      <c r="G5" s="3166"/>
      <c r="H5" s="3166" t="e">
        <f ca="1">结果表!H119</f>
        <v>#REF!</v>
      </c>
      <c r="I5" s="3166"/>
    </row>
    <row r="6" spans="1:9" ht="15.75">
      <c r="A6" s="3165" t="str">
        <f>结果表!A120</f>
        <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
      </c>
      <c r="B8" s="3165"/>
      <c r="C8" s="3165"/>
      <c r="D8" s="3165" t="e">
        <f ca="1">结果表!D122</f>
        <v>#REF!</v>
      </c>
      <c r="E8" s="3165"/>
      <c r="F8" s="3165"/>
      <c r="G8" s="3165"/>
      <c r="H8" s="3165"/>
      <c r="I8" s="3165"/>
    </row>
    <row r="9" spans="1:9" ht="15">
      <c r="A9" s="3166" t="s">
        <v>927</v>
      </c>
      <c r="B9" s="3166"/>
      <c r="C9" s="3166"/>
      <c r="D9" s="3166" t="e">
        <f ca="1">结果表!D123</f>
        <v>#REF!</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2024-12-24T01:43:49Z</dcterms:modified>
</cp:coreProperties>
</file>