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B7" i="59" l="1"/>
  <c r="G22" i="59" l="1"/>
  <c r="C8" i="63"/>
  <c r="G20" i="59"/>
  <c r="D9" i="69"/>
  <c r="E7" i="69" s="1"/>
  <c r="E8" i="69" l="1"/>
  <c r="B6" i="59" s="1"/>
  <c r="I4" i="67"/>
  <c r="L4" i="67"/>
  <c r="K4" i="67"/>
  <c r="J4" i="67"/>
  <c r="Q6" i="67" l="1"/>
  <c r="P6" i="67"/>
  <c r="O6" i="67"/>
  <c r="N6" i="67"/>
  <c r="N7" i="67" l="1"/>
  <c r="O7" i="67"/>
  <c r="P7" i="67"/>
  <c r="Q7" i="67"/>
  <c r="B15" i="59" l="1"/>
  <c r="N8" i="67" l="1"/>
  <c r="O8" i="67"/>
  <c r="P8" i="67"/>
  <c r="Q8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9" i="67" l="1"/>
  <c r="O9" i="67"/>
  <c r="P9" i="67"/>
  <c r="Q9" i="67"/>
  <c r="N10" i="67"/>
  <c r="O10" i="67"/>
  <c r="P10" i="67"/>
  <c r="Q10" i="67"/>
  <c r="B10" i="67" l="1"/>
  <c r="S10" i="67" s="1"/>
  <c r="F10" i="67"/>
  <c r="V10" i="67" s="1"/>
  <c r="E10" i="67"/>
  <c r="U10" i="67" s="1"/>
  <c r="C10" i="67"/>
  <c r="T10" i="67" s="1"/>
  <c r="C9" i="67" l="1"/>
  <c r="C8" i="67" s="1"/>
  <c r="D8" i="67" s="1"/>
  <c r="C7" i="67"/>
  <c r="E9" i="67"/>
  <c r="E8" i="67" s="1"/>
  <c r="E7" i="67" s="1"/>
  <c r="E6" i="67" s="1"/>
  <c r="B9" i="67"/>
  <c r="B8" i="67" s="1"/>
  <c r="B7" i="67" s="1"/>
  <c r="B6" i="67" s="1"/>
  <c r="F9" i="67"/>
  <c r="F8" i="67" s="1"/>
  <c r="F7" i="67" s="1"/>
  <c r="F6" i="67" s="1"/>
  <c r="D10" i="67"/>
  <c r="D9" i="67" l="1"/>
  <c r="D7" i="67"/>
  <c r="C6" i="67"/>
  <c r="D6" i="67" s="1"/>
  <c r="D71" i="67"/>
  <c r="D67" i="67"/>
  <c r="D63" i="67"/>
  <c r="D59" i="67"/>
  <c r="D55" i="67"/>
  <c r="D51" i="67"/>
  <c r="D47" i="67"/>
  <c r="D43" i="67"/>
  <c r="D39" i="67"/>
  <c r="D35" i="67"/>
  <c r="D31" i="67"/>
  <c r="D30" i="67"/>
  <c r="D27" i="67"/>
  <c r="D23" i="67"/>
  <c r="D19" i="67"/>
  <c r="D15" i="67"/>
  <c r="D11" i="67"/>
  <c r="F70" i="67"/>
  <c r="E70" i="67"/>
  <c r="C70" i="67"/>
  <c r="D70" i="67" s="1"/>
  <c r="B70" i="67"/>
  <c r="F69" i="67"/>
  <c r="E69" i="67"/>
  <c r="C69" i="67"/>
  <c r="D69" i="67" s="1"/>
  <c r="B69" i="67"/>
  <c r="F68" i="67"/>
  <c r="E68" i="67"/>
  <c r="C68" i="67"/>
  <c r="D68" i="67" s="1"/>
  <c r="B68" i="67"/>
  <c r="F66" i="67"/>
  <c r="E66" i="67"/>
  <c r="C66" i="67"/>
  <c r="D66" i="67" s="1"/>
  <c r="B66" i="67"/>
  <c r="F65" i="67"/>
  <c r="E65" i="67"/>
  <c r="C65" i="67"/>
  <c r="D65" i="67" s="1"/>
  <c r="B65" i="67"/>
  <c r="F64" i="67"/>
  <c r="E64" i="67"/>
  <c r="C64" i="67"/>
  <c r="D64" i="67" s="1"/>
  <c r="B64" i="67"/>
  <c r="Q62" i="67"/>
  <c r="P62" i="67"/>
  <c r="O62" i="67"/>
  <c r="N62" i="67"/>
  <c r="F62" i="67"/>
  <c r="V62" i="67" s="1"/>
  <c r="E62" i="67"/>
  <c r="U62" i="67" s="1"/>
  <c r="C62" i="67"/>
  <c r="T62" i="67" s="1"/>
  <c r="B62" i="67"/>
  <c r="S62" i="67" s="1"/>
  <c r="Q61" i="67"/>
  <c r="P61" i="67"/>
  <c r="O61" i="67"/>
  <c r="N61" i="67"/>
  <c r="F61" i="67"/>
  <c r="E61" i="67"/>
  <c r="C61" i="67"/>
  <c r="D61" i="67" s="1"/>
  <c r="B61" i="67"/>
  <c r="Q60" i="67"/>
  <c r="P60" i="67"/>
  <c r="O60" i="67"/>
  <c r="N60" i="67"/>
  <c r="F60" i="67"/>
  <c r="E60" i="67"/>
  <c r="C60" i="67"/>
  <c r="D60" i="67" s="1"/>
  <c r="B60" i="67"/>
  <c r="Q59" i="67"/>
  <c r="P59" i="67"/>
  <c r="O59" i="67"/>
  <c r="N59" i="67"/>
  <c r="Q58" i="67"/>
  <c r="P58" i="67"/>
  <c r="O58" i="67"/>
  <c r="N58" i="67"/>
  <c r="F58" i="67"/>
  <c r="V58" i="67" s="1"/>
  <c r="E58" i="67"/>
  <c r="U58" i="67" s="1"/>
  <c r="C58" i="67"/>
  <c r="T58" i="67" s="1"/>
  <c r="B58" i="67"/>
  <c r="S58" i="67" s="1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F56" i="67"/>
  <c r="E56" i="67"/>
  <c r="C56" i="67"/>
  <c r="D56" i="67" s="1"/>
  <c r="B56" i="67"/>
  <c r="Q55" i="67"/>
  <c r="P55" i="67"/>
  <c r="O55" i="67"/>
  <c r="N55" i="67"/>
  <c r="Q54" i="67"/>
  <c r="P54" i="67"/>
  <c r="O54" i="67"/>
  <c r="N54" i="67"/>
  <c r="F54" i="67"/>
  <c r="V54" i="67" s="1"/>
  <c r="E54" i="67"/>
  <c r="U54" i="67" s="1"/>
  <c r="C54" i="67"/>
  <c r="T54" i="67" s="1"/>
  <c r="B54" i="67"/>
  <c r="S54" i="67" s="1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F52" i="67"/>
  <c r="E52" i="67"/>
  <c r="C52" i="67"/>
  <c r="D52" i="67" s="1"/>
  <c r="B52" i="67"/>
  <c r="Q51" i="67"/>
  <c r="P51" i="67"/>
  <c r="O51" i="67"/>
  <c r="N51" i="67"/>
  <c r="F50" i="67"/>
  <c r="V50" i="67" s="1"/>
  <c r="E50" i="67"/>
  <c r="U50" i="67" s="1"/>
  <c r="C50" i="67"/>
  <c r="T50" i="67" s="1"/>
  <c r="B50" i="67"/>
  <c r="S50" i="67" s="1"/>
  <c r="F49" i="67"/>
  <c r="Q49" i="67" s="1"/>
  <c r="E49" i="67"/>
  <c r="P49" i="67" s="1"/>
  <c r="C49" i="67"/>
  <c r="O49" i="67" s="1"/>
  <c r="B49" i="67"/>
  <c r="N49" i="67" s="1"/>
  <c r="F48" i="67"/>
  <c r="Q48" i="67" s="1"/>
  <c r="E48" i="67"/>
  <c r="P48" i="67" s="1"/>
  <c r="C48" i="67"/>
  <c r="O48" i="67" s="1"/>
  <c r="B48" i="67"/>
  <c r="N48" i="67" s="1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 s="1"/>
  <c r="C45" i="67" s="1"/>
  <c r="C46" i="67" s="1"/>
  <c r="T46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C42" i="67" s="1"/>
  <c r="T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C36" i="67" s="1"/>
  <c r="C37" i="67" s="1"/>
  <c r="C38" i="67" s="1"/>
  <c r="T38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E33" i="67" s="1"/>
  <c r="E34" i="67" s="1"/>
  <c r="U34" i="67" s="1"/>
  <c r="O31" i="67"/>
  <c r="C32" i="67" s="1"/>
  <c r="C33" i="67" s="1"/>
  <c r="C34" i="67" s="1"/>
  <c r="T34" i="67" s="1"/>
  <c r="N31" i="67"/>
  <c r="B32" i="67" s="1"/>
  <c r="B33" i="67" s="1"/>
  <c r="B34" i="67" s="1"/>
  <c r="S34" i="67" s="1"/>
  <c r="T30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E29" i="67" s="1"/>
  <c r="E30" i="67" s="1"/>
  <c r="U30" i="67" s="1"/>
  <c r="O27" i="67"/>
  <c r="C28" i="67" s="1"/>
  <c r="C29" i="67" s="1"/>
  <c r="D29" i="67" s="1"/>
  <c r="N27" i="67"/>
  <c r="B28" i="67" s="1"/>
  <c r="B29" i="67" s="1"/>
  <c r="B30" i="67" s="1"/>
  <c r="S30" i="67" s="1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 s="1"/>
  <c r="F25" i="67" s="1"/>
  <c r="F26" i="67" s="1"/>
  <c r="V26" i="67" s="1"/>
  <c r="P23" i="67"/>
  <c r="E24" i="67" s="1"/>
  <c r="E25" i="67" s="1"/>
  <c r="E26" i="67" s="1"/>
  <c r="U26" i="67" s="1"/>
  <c r="O23" i="67"/>
  <c r="C24" i="67" s="1"/>
  <c r="C25" i="67" s="1"/>
  <c r="C26" i="67" s="1"/>
  <c r="T26" i="67" s="1"/>
  <c r="N23" i="67"/>
  <c r="B24" i="67" s="1"/>
  <c r="B25" i="67" s="1"/>
  <c r="B26" i="67" s="1"/>
  <c r="S26" i="67" s="1"/>
  <c r="Q22" i="67"/>
  <c r="P22" i="67"/>
  <c r="O22" i="67"/>
  <c r="N22" i="67"/>
  <c r="Q21" i="67"/>
  <c r="P21" i="67"/>
  <c r="O21" i="67"/>
  <c r="N21" i="67"/>
  <c r="Q20" i="67"/>
  <c r="P20" i="67"/>
  <c r="O20" i="67"/>
  <c r="N20" i="67"/>
  <c r="Q19" i="67"/>
  <c r="F20" i="67" s="1"/>
  <c r="F21" i="67" s="1"/>
  <c r="F22" i="67" s="1"/>
  <c r="V22" i="67" s="1"/>
  <c r="P19" i="67"/>
  <c r="E20" i="67" s="1"/>
  <c r="E21" i="67" s="1"/>
  <c r="E22" i="67" s="1"/>
  <c r="U22" i="67" s="1"/>
  <c r="O19" i="67"/>
  <c r="C20" i="67" s="1"/>
  <c r="C21" i="67" s="1"/>
  <c r="C22" i="67" s="1"/>
  <c r="T22" i="67" s="1"/>
  <c r="N19" i="67"/>
  <c r="B20" i="67" s="1"/>
  <c r="B21" i="67" s="1"/>
  <c r="B22" i="67" s="1"/>
  <c r="S22" i="67" s="1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F16" i="67" s="1"/>
  <c r="F17" i="67" s="1"/>
  <c r="F18" i="67" s="1"/>
  <c r="V18" i="67" s="1"/>
  <c r="P15" i="67"/>
  <c r="E16" i="67" s="1"/>
  <c r="E17" i="67" s="1"/>
  <c r="E18" i="67" s="1"/>
  <c r="U18" i="67" s="1"/>
  <c r="O15" i="67"/>
  <c r="C16" i="67" s="1"/>
  <c r="C17" i="67" s="1"/>
  <c r="C18" i="67" s="1"/>
  <c r="T18" i="67" s="1"/>
  <c r="N15" i="67"/>
  <c r="B16" i="67" s="1"/>
  <c r="B17" i="67" s="1"/>
  <c r="B18" i="67" s="1"/>
  <c r="S18" i="67" s="1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F12" i="67" s="1"/>
  <c r="F13" i="67" s="1"/>
  <c r="F14" i="67" s="1"/>
  <c r="V14" i="67" s="1"/>
  <c r="P11" i="67"/>
  <c r="E12" i="67" s="1"/>
  <c r="E13" i="67" s="1"/>
  <c r="E14" i="67" s="1"/>
  <c r="U14" i="67" s="1"/>
  <c r="O11" i="67"/>
  <c r="C12" i="67" s="1"/>
  <c r="C13" i="67" s="1"/>
  <c r="C14" i="67" s="1"/>
  <c r="T14" i="67" s="1"/>
  <c r="N11" i="67"/>
  <c r="B12" i="67" s="1"/>
  <c r="B13" i="67" s="1"/>
  <c r="B14" i="67" s="1"/>
  <c r="S14" i="67" s="1"/>
  <c r="D12" i="67" l="1"/>
  <c r="D14" i="67"/>
  <c r="D16" i="67"/>
  <c r="D18" i="67"/>
  <c r="D20" i="67"/>
  <c r="D22" i="67"/>
  <c r="D24" i="67"/>
  <c r="D26" i="67"/>
  <c r="D28" i="67"/>
  <c r="D32" i="67"/>
  <c r="D34" i="67"/>
  <c r="D36" i="67"/>
  <c r="D38" i="67"/>
  <c r="D40" i="67"/>
  <c r="D42" i="67"/>
  <c r="D44" i="67"/>
  <c r="D46" i="67"/>
  <c r="D48" i="67"/>
  <c r="D50" i="67"/>
  <c r="D54" i="67"/>
  <c r="D58" i="67"/>
  <c r="D62" i="67"/>
  <c r="D13" i="67"/>
  <c r="D17" i="67"/>
  <c r="D21" i="67"/>
  <c r="D25" i="67"/>
  <c r="D33" i="67"/>
  <c r="D37" i="67"/>
  <c r="D41" i="67"/>
  <c r="D45" i="67"/>
  <c r="D49" i="67"/>
  <c r="N50" i="67"/>
  <c r="P50" i="67"/>
  <c r="O50" i="67"/>
  <c r="Q50" i="67"/>
  <c r="Y62" i="66"/>
  <c r="Y63" i="66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G2" i="66" s="1"/>
  <c r="N20" i="43" s="1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 l="1"/>
  <c r="N24" i="43" s="1"/>
  <c r="L17" i="66"/>
  <c r="L2" i="66" s="1"/>
  <c r="L18" i="66"/>
  <c r="J2" i="66"/>
  <c r="N23" i="43" s="1"/>
  <c r="H2" i="66"/>
  <c r="N21" i="43" s="1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2" i="66" s="1"/>
  <c r="O18" i="66"/>
  <c r="C26" i="63"/>
  <c r="I2" i="66"/>
  <c r="N22" i="43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P17" i="66"/>
  <c r="P2" i="66" s="1"/>
  <c r="M19" i="66"/>
  <c r="M18" i="66"/>
  <c r="M17" i="66"/>
  <c r="M2" i="66" s="1"/>
  <c r="P18" i="66"/>
  <c r="D65" i="66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18" i="66" l="1"/>
  <c r="N19" i="66"/>
  <c r="N17" i="66"/>
  <c r="N2" i="66" s="1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C28" i="63" l="1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H7" i="65"/>
  <c r="H5" i="65"/>
  <c r="D8" i="65"/>
  <c r="G7" i="65"/>
  <c r="D6" i="65"/>
  <c r="H6" i="65"/>
  <c r="G5" i="65"/>
  <c r="D7" i="65"/>
  <c r="E4" i="65"/>
  <c r="G4" i="65"/>
  <c r="G8" i="65"/>
  <c r="D5" i="65"/>
  <c r="D4" i="65"/>
  <c r="E6" i="65"/>
  <c r="G6" i="65"/>
  <c r="E8" i="65"/>
  <c r="H8" i="65"/>
  <c r="E7" i="65"/>
  <c r="E5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1" i="65"/>
  <c r="G2" i="65"/>
  <c r="E20" i="43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D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 s="1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H35" i="39"/>
  <c r="U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AA14" i="39" l="1"/>
  <c r="S14" i="39"/>
  <c r="J35" i="39"/>
  <c r="AC35" i="39" s="1"/>
  <c r="U8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S23" i="39"/>
  <c r="AB19" i="39"/>
  <c r="U17" i="39"/>
  <c r="AC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AC17" i="39"/>
  <c r="U42" i="39"/>
  <c r="AC31" i="39"/>
  <c r="W27" i="39" l="1"/>
  <c r="AB15" i="39"/>
  <c r="W21" i="39"/>
  <c r="W23" i="39"/>
  <c r="W14" i="39"/>
  <c r="H72" i="43"/>
  <c r="H73" i="43"/>
  <c r="H77" i="43"/>
  <c r="H71" i="43"/>
  <c r="H70" i="43"/>
  <c r="H74" i="43"/>
  <c r="H78" i="43"/>
  <c r="H76" i="43"/>
  <c r="H7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D14" i="63" s="1"/>
  <c r="B82" i="63"/>
  <c r="D12" i="63" l="1"/>
  <c r="C11" i="63" s="1"/>
  <c r="C18" i="63" l="1"/>
  <c r="C22" i="63" s="1"/>
  <c r="B5" i="63" s="1"/>
  <c r="F7" i="59" s="1"/>
  <c r="C19" i="63"/>
  <c r="E19" i="63" s="1"/>
  <c r="B3" i="63"/>
  <c r="F6" i="59" s="1"/>
  <c r="E18" i="63" l="1"/>
  <c r="F5" i="59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<sst xmlns="http://schemas.openxmlformats.org/spreadsheetml/2006/main" count="3938" uniqueCount="1775">
  <si>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</si>
  <si>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</si>
  <si>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</si>
  <si>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</si>
  <si>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</si>
  <si>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</si>
  <si>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</si>
  <si>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</si>
  <si>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</si>
  <si>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</si>
  <si>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</si>
  <si>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</si>
  <si>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</si>
  <si>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</si>
  <si>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</si>
  <si>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</si>
  <si>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</si>
  <si>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</si>
  <si>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</si>
  <si>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</si>
  <si>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</si>
  <si>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</si>
  <si>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</si>
  <si>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</si>
  <si>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</si>
  <si>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</si>
  <si>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</si>
  <si>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</si>
  <si>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</si>
  <si>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</si>
  <si>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</si>
  <si>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</si>
  <si>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</si>
  <si>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</si>
  <si>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</si>
  <si>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</si>
  <si>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</si>
  <si>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</si>
  <si>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</si>
  <si>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</si>
  <si>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</si>
  <si>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</si>
  <si>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</si>
  <si>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</si>
  <si>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</si>
  <si>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</si>
  <si>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</si>
  <si>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</si>
  <si>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</si>
  <si>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</si>
  <si>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</si>
  <si>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</si>
  <si>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</si>
  <si>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</si>
  <si>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</si>
  <si>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</si>
  <si>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</si>
  <si>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</si>
  <si>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</si>
  <si>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</si>
  <si>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</si>
  <si>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</si>
  <si>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</si>
  <si>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</si>
  <si>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</si>
  <si>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</si>
  <si>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</si>
  <si>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</si>
  <si>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</si>
  <si>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</si>
  <si>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</si>
  <si>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</si>
  <si>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</si>
  <si>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</si>
  <si>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</si>
  <si>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</si>
  <si>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</si>
  <si>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</si>
  <si>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</si>
  <si>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</si>
  <si>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</si>
  <si>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</si>
  <si>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</si>
  <si>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</si>
  <si>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</si>
  <si>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</si>
  <si>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</si>
  <si>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</si>
  <si>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</si>
  <si>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</si>
  <si>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</si>
  <si>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</si>
  <si>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</si>
  <si>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</si>
  <si>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</si>
  <si>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</si>
  <si>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</si>
  <si>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</si>
  <si>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</si>
  <si>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</si>
  <si>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</si>
  <si>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</si>
  <si>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</si>
  <si>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</si>
  <si>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</si>
  <si>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</si>
  <si>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</si>
  <si>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</si>
  <si>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</si>
  <si>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</si>
  <si>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</si>
  <si>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</si>
  <si>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</si>
  <si>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</si>
  <si>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</si>
  <si>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</si>
  <si>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</si>
  <si>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</si>
  <si>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</si>
  <si>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</si>
  <si>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</si>
  <si>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</si>
  <si>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</si>
  <si>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</si>
  <si>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</si>
  <si>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</si>
  <si>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</si>
  <si>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</si>
  <si>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</si>
  <si>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</si>
  <si>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</si>
  <si>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</si>
  <si>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</si>
  <si>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</si>
  <si>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</si>
  <si>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</si>
  <si>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</si>
  <si>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</si>
  <si>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</si>
  <si>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</si>
  <si>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</si>
  <si>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</si>
  <si>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</si>
  <si>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</si>
  <si>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</si>
  <si>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</si>
  <si>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</si>
  <si>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</si>
  <si>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</si>
  <si>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</si>
  <si>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</si>
  <si>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</si>
  <si>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</si>
  <si>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</si>
  <si>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</si>
  <si>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</si>
  <si>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</si>
  <si>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</si>
  <si>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</si>
  <si>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</si>
  <si>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</si>
  <si>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</si>
  <si>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</si>
  <si>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</si>
  <si>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</si>
  <si>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</si>
  <si>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</si>
  <si>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</si>
  <si>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</si>
  <si>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</si>
  <si>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</si>
  <si>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</si>
  <si>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</si>
  <si>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</si>
  <si>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</si>
  <si>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</si>
  <si>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</si>
  <si>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</si>
  <si>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</si>
  <si>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</si>
  <si>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</si>
  <si>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</si>
  <si>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</si>
  <si>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</si>
  <si>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</si>
  <si>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</si>
  <si>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</si>
  <si>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</si>
  <si>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</si>
  <si>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</si>
  <si>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</si>
  <si>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</si>
  <si>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</si>
  <si>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</si>
  <si>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</si>
  <si>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</si>
  <si>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</si>
  <si>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</si>
  <si>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</si>
  <si>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</si>
  <si>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</si>
  <si>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</si>
  <si>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</si>
  <si>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</si>
  <si>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</si>
  <si>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</si>
  <si>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</si>
  <si>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</si>
  <si>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</si>
  <si>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</si>
  <si>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</si>
  <si>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</si>
  <si>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</si>
  <si>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</si>
  <si>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</si>
  <si>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</si>
  <si>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</si>
  <si>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</si>
  <si>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</si>
  <si>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</si>
  <si>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</si>
  <si>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</si>
  <si>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</si>
  <si>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</si>
  <si>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</si>
  <si>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</si>
  <si>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</si>
  <si>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</si>
  <si>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</si>
  <si>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</si>
  <si>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</si>
  <si>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</si>
  <si>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</si>
  <si>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</si>
  <si>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</si>
  <si>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</si>
  <si>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</si>
  <si>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</si>
  <si>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</si>
  <si>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</si>
  <si>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</si>
  <si>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</si>
  <si>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</si>
  <si>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</si>
  <si>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</si>
  <si>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</si>
  <si>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</si>
  <si>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</si>
  <si>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</si>
  <si>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</si>
  <si>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</si>
  <si>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</si>
  <si>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</si>
  <si>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</si>
  <si>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</si>
  <si>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</si>
  <si>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</si>
  <si>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</si>
  <si>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</si>
  <si>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</si>
  <si>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</si>
  <si>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</si>
  <si>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</si>
  <si>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</si>
  <si>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</si>
  <si>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</si>
  <si>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</si>
  <si>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</si>
  <si>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</si>
  <si>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</si>
  <si>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</si>
  <si>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</si>
  <si>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</si>
  <si>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</si>
  <si>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</si>
  <si>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</si>
  <si>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</si>
  <si>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</si>
  <si>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</si>
  <si>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</si>
  <si>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</si>
  <si>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</si>
  <si>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</si>
  <si>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</si>
  <si>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</si>
  <si>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</si>
  <si>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</si>
  <si>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</si>
  <si>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</si>
  <si>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</si>
  <si>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</si>
  <si>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</si>
  <si>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</si>
  <si>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</si>
  <si>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</si>
  <si>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</si>
  <si>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</si>
  <si>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</si>
  <si>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</si>
  <si>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</si>
  <si>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</si>
  <si>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</si>
  <si>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</si>
  <si>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</si>
  <si>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</si>
  <si>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</si>
  <si>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</si>
  <si>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</si>
  <si>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</si>
  <si>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</si>
  <si>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</si>
  <si>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</si>
  <si>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</si>
  <si>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</si>
  <si>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</si>
  <si>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</si>
  <si>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</si>
  <si>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</si>
  <si>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</si>
  <si>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</si>
  <si>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</si>
  <si>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</si>
  <si>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</si>
  <si>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</si>
  <si>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</si>
  <si>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</si>
  <si>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</si>
  <si>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</si>
  <si>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</si>
  <si>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</si>
  <si>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</si>
  <si>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</si>
  <si>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</si>
  <si>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</si>
  <si>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</si>
  <si>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</si>
  <si>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</si>
  <si>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</si>
  <si>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</si>
  <si>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</si>
  <si>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</si>
  <si>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</si>
  <si>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</si>
  <si>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</si>
  <si>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</si>
  <si>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</si>
  <si>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</si>
  <si>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</si>
  <si>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</si>
  <si>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</si>
  <si>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</si>
  <si>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</si>
  <si>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</si>
  <si>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</si>
  <si>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</si>
  <si>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</si>
  <si>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</si>
  <si>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</si>
  <si>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</si>
  <si>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</si>
  <si>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</si>
  <si>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</si>
  <si>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</si>
  <si>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</si>
  <si>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</si>
  <si>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</si>
  <si>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</si>
  <si>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</si>
  <si>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</si>
  <si>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</si>
  <si>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</si>
  <si>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</si>
  <si>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</si>
  <si>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</si>
  <si>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</si>
  <si>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</si>
  <si>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</si>
  <si>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</si>
  <si>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</si>
  <si>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</si>
  <si>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</si>
  <si>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</si>
  <si>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</si>
  <si>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</si>
  <si>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</si>
  <si>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</si>
  <si>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</si>
  <si>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</si>
  <si>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</si>
  <si>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</si>
  <si>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</si>
  <si>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</si>
  <si>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</si>
  <si>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</si>
  <si>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</si>
  <si>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</si>
  <si>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</si>
  <si>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</si>
  <si>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</si>
  <si>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</si>
  <si>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</si>
  <si>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</si>
  <si>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</si>
  <si>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</si>
  <si>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</si>
  <si>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</si>
  <si>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</si>
  <si>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</si>
  <si>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</si>
  <si>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</si>
  <si>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</si>
  <si>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</si>
  <si>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</si>
  <si>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</si>
  <si>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</si>
  <si>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</si>
  <si>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</si>
  <si>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</si>
  <si>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</si>
  <si>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</si>
  <si>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</si>
  <si>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</si>
  <si>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</si>
  <si>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</si>
  <si>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</si>
  <si>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</si>
  <si>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</si>
  <si>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</si>
  <si>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</si>
  <si>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</si>
  <si>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</si>
  <si>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</si>
  <si>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</si>
  <si>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</si>
  <si>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</si>
  <si>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</si>
  <si>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</si>
  <si>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</si>
  <si>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</si>
  <si>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</si>
  <si>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</si>
  <si>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</si>
  <si>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</si>
  <si>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</si>
  <si>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</si>
  <si>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</si>
  <si>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</si>
  <si>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</si>
  <si>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</si>
  <si>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</si>
  <si>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</si>
  <si>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</si>
  <si>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</si>
  <si>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</si>
  <si>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</si>
  <si>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</si>
  <si>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</si>
  <si>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</si>
  <si>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</si>
  <si>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</si>
  <si>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</si>
  <si>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</si>
  <si>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</si>
  <si>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</si>
  <si>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</si>
  <si>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</si>
  <si>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</si>
  <si>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</si>
  <si>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</si>
  <si>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</si>
  <si>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</si>
  <si>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</si>
  <si>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</si>
  <si>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</si>
  <si>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</si>
  <si>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</si>
  <si>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</si>
  <si>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</si>
  <si>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</si>
  <si>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</si>
  <si>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</si>
  <si>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</si>
  <si>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</si>
  <si>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</si>
  <si>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</si>
  <si>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</si>
  <si>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</si>
  <si>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</si>
  <si>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</si>
  <si>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</si>
  <si>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</si>
  <si>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</si>
  <si>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</si>
  <si>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</si>
  <si>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</si>
  <si>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</si>
  <si>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</si>
  <si>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</si>
  <si>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</si>
  <si>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</si>
  <si>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</si>
  <si>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</si>
  <si>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</si>
  <si>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</si>
  <si>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</si>
  <si>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</si>
  <si>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</si>
  <si>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</si>
  <si>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</si>
  <si>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</si>
  <si>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</si>
  <si>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</si>
  <si>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</si>
  <si>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</si>
  <si>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</si>
  <si>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</si>
  <si>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</si>
  <si>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</si>
  <si>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</si>
  <si>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</si>
  <si>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</si>
  <si>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</si>
  <si>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</si>
  <si>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</si>
  <si>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</si>
  <si>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</si>
  <si>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</si>
  <si>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</si>
  <si>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</si>
  <si>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</si>
  <si>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</si>
  <si>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</si>
  <si>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</si>
  <si>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</si>
  <si>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</si>
  <si>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</si>
  <si>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</si>
  <si>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</si>
  <si>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</si>
  <si>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</si>
  <si>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</si>
  <si>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</si>
  <si>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</si>
  <si>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</si>
  <si>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</si>
  <si>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</si>
  <si>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</si>
  <si>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</si>
  <si>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</si>
  <si>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</si>
  <si>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</si>
  <si>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</si>
  <si>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</si>
  <si>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</si>
  <si>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</si>
  <si>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</si>
  <si>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</si>
  <si>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</si>
  <si>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</si>
  <si>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</si>
  <si>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</si>
  <si>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</si>
  <si>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</si>
  <si>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</si>
  <si>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</si>
  <si>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</si>
  <si>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</si>
  <si>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</si>
  <si>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</si>
  <si>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</si>
  <si>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</si>
  <si>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</si>
  <si>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</si>
  <si>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</si>
  <si>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</si>
  <si>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</si>
  <si>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</si>
  <si>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</si>
  <si>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</si>
  <si>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</si>
  <si>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</si>
  <si>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</si>
  <si>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</si>
  <si>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</si>
  <si>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</si>
  <si>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</si>
  <si>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</si>
  <si>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</si>
  <si>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</si>
  <si>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</si>
  <si>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</si>
  <si>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</si>
  <si>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</si>
  <si>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</si>
  <si>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</si>
  <si>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</si>
  <si>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</si>
  <si>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</si>
  <si>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</si>
  <si>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</si>
  <si>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</si>
  <si>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</si>
  <si>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</si>
  <si>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</si>
  <si>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</si>
  <si>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</si>
  <si>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</si>
  <si>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</si>
  <si>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</si>
  <si>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</si>
  <si>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</si>
  <si>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</si>
  <si>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</si>
  <si>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</si>
  <si>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</si>
  <si>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</si>
  <si>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</si>
  <si>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</si>
  <si>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</si>
  <si>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</si>
  <si>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</si>
  <si>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</si>
  <si>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</si>
  <si>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</si>
  <si>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</si>
  <si>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</si>
  <si>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</si>
  <si>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</si>
  <si>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</si>
  <si>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</si>
  <si>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</si>
  <si>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</si>
  <si>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</si>
  <si>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</si>
  <si>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</si>
  <si>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</si>
  <si>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</si>
  <si>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</si>
  <si>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</si>
  <si>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</si>
  <si>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</si>
  <si>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</si>
  <si>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</si>
  <si>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</si>
  <si>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</si>
  <si>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</si>
  <si>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</si>
  <si>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</si>
  <si>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</si>
  <si>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</si>
  <si>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</si>
  <si>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</si>
  <si>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</si>
  <si>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</si>
  <si>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</si>
  <si>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</si>
  <si>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</si>
  <si>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</si>
  <si>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</si>
  <si>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</si>
  <si>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</si>
  <si>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</si>
  <si>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</si>
  <si>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</si>
  <si>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</si>
  <si>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</si>
  <si>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</si>
  <si>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</si>
  <si>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</si>
  <si>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</si>
  <si>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</si>
  <si>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</si>
  <si>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</si>
  <si>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</si>
  <si>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</si>
  <si>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</si>
  <si>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</si>
  <si>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</si>
  <si>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</si>
  <si>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</si>
  <si>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</si>
  <si>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</si>
  <si>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</si>
  <si>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</si>
  <si>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</si>
  <si>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</si>
  <si>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</si>
  <si>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</si>
  <si>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</si>
  <si>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</si>
  <si>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</si>
  <si>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</si>
  <si>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</si>
  <si>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</si>
  <si>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</si>
  <si>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</si>
  <si>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</si>
  <si>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</si>
  <si>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</si>
  <si>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</si>
  <si>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</si>
  <si>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</si>
  <si>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</si>
  <si>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</si>
  <si>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</si>
  <si>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</si>
  <si>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</si>
  <si>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</si>
  <si>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</si>
  <si>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</si>
  <si>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</si>
  <si>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</si>
  <si>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</si>
  <si>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</si>
  <si>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</si>
  <si>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</si>
  <si>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</si>
  <si>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</si>
  <si>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</si>
  <si>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</si>
  <si>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</si>
  <si>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</si>
  <si>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</si>
  <si>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</si>
  <si>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</si>
  <si>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</si>
  <si>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</si>
  <si>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</si>
  <si>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</si>
  <si>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</si>
  <si>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</si>
  <si>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</si>
  <si>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</si>
  <si>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</si>
  <si>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</si>
  <si>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</si>
  <si>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</si>
  <si>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</si>
  <si>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</si>
  <si>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</si>
  <si>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</si>
  <si>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</si>
  <si>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</si>
  <si>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</si>
  <si>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</si>
  <si>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</si>
  <si>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</si>
  <si>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</si>
  <si>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</si>
  <si>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</si>
  <si>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</si>
  <si>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</si>
  <si>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</si>
  <si>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</si>
  <si>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</si>
  <si>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</si>
  <si>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</si>
  <si>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</si>
  <si>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</si>
  <si>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</si>
  <si>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</si>
  <si>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</si>
  <si>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</si>
  <si>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</si>
  <si>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</si>
  <si>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</si>
  <si>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</si>
  <si>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</si>
  <si>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</si>
  <si>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</si>
  <si>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</si>
  <si>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</si>
  <si>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</si>
  <si>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</si>
  <si>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</si>
  <si>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</si>
  <si>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</si>
  <si>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</si>
  <si>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</si>
  <si>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</si>
  <si>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</si>
  <si>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</si>
  <si>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</si>
  <si>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</si>
  <si>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</si>
  <si>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</si>
  <si>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</si>
  <si>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</si>
  <si>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</si>
  <si>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</si>
  <si>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</si>
  <si>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</si>
  <si>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</si>
  <si>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</si>
  <si>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</si>
  <si>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</si>
  <si>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</si>
  <si>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</si>
  <si>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</si>
  <si>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</si>
  <si>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</si>
  <si>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</si>
  <si>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</si>
  <si>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</si>
  <si>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</si>
  <si>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</si>
  <si>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</si>
  <si>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</si>
  <si>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</si>
  <si>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</si>
  <si>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</si>
  <si>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</si>
  <si>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</si>
  <si>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</si>
  <si>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</si>
  <si>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</si>
  <si>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</si>
  <si>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</si>
  <si>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</si>
  <si>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</si>
  <si>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</si>
  <si>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</si>
  <si>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</si>
  <si>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</si>
  <si>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</si>
  <si>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</si>
  <si>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</si>
  <si>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</si>
  <si>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</si>
  <si>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</si>
  <si>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</si>
  <si>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</si>
  <si>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</si>
  <si>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</si>
  <si>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</si>
  <si>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</si>
  <si>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</si>
  <si>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</si>
  <si>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</si>
  <si>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</si>
  <si>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</si>
  <si>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</si>
  <si>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</si>
  <si>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</si>
  <si>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</si>
  <si>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</si>
  <si>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</si>
  <si>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</si>
  <si>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</si>
  <si>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</si>
  <si>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</si>
  <si>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</si>
  <si>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</si>
  <si>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</si>
  <si>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</si>
  <si>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</si>
  <si>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</si>
  <si>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</si>
  <si>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</si>
  <si>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</si>
  <si>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</si>
  <si>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</si>
  <si>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</si>
  <si>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</si>
  <si>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</si>
  <si>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</si>
  <si>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</si>
  <si>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</si>
  <si>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</si>
  <si>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</si>
  <si>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</si>
  <si>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</si>
  <si>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</si>
  <si>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</si>
  <si>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</si>
  <si>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</si>
  <si>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</si>
  <si>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</si>
  <si>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</si>
  <si>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</si>
  <si>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</si>
  <si>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</si>
  <si>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</si>
  <si>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</si>
  <si>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</si>
  <si>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</si>
  <si>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</si>
  <si>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</si>
  <si>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</si>
  <si>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</si>
  <si>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</si>
  <si>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</si>
  <si>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</si>
  <si>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</si>
  <si>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</si>
  <si>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</si>
  <si>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</si>
  <si>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</si>
  <si>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</si>
  <si>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</si>
  <si>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</si>
  <si>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</si>
  <si>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</si>
  <si>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</si>
  <si>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</si>
  <si>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</si>
  <si>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</si>
  <si>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</si>
  <si>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</si>
  <si>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</si>
  <si>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</si>
  <si>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</si>
  <si>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</si>
  <si>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</si>
  <si>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</si>
  <si>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</si>
  <si>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</si>
  <si>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</si>
  <si>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</si>
  <si>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</si>
  <si>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</si>
  <si>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</si>
  <si>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</si>
  <si>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</si>
  <si>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</si>
  <si>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</si>
  <si>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</si>
  <si>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</si>
  <si>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</si>
  <si>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</si>
  <si>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</si>
  <si>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</si>
  <si>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</si>
  <si>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</si>
  <si>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</si>
  <si>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</si>
  <si>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</si>
  <si>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</si>
  <si>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</si>
  <si>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</si>
  <si>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</si>
  <si>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</si>
  <si>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</si>
  <si>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</si>
  <si>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</si>
  <si>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</si>
  <si>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</si>
  <si>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</si>
  <si>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</si>
  <si>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</si>
  <si>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</si>
  <si>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</si>
  <si>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</si>
  <si>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</si>
  <si>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</si>
  <si>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</si>
  <si>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</si>
  <si>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</si>
  <si>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</si>
  <si>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</si>
  <si>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</si>
  <si>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</si>
  <si>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</si>
  <si>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</si>
  <si>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</si>
  <si>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</si>
  <si>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</si>
  <si>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</si>
  <si>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</si>
  <si>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</si>
  <si>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</si>
  <si>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</si>
  <si>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</si>
  <si>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</si>
  <si>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</si>
  <si>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</si>
  <si>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</si>
  <si>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</si>
  <si>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</si>
  <si>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</si>
  <si>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</si>
  <si>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</si>
  <si>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</si>
  <si>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</si>
  <si>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</si>
  <si>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</si>
  <si>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</si>
  <si>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</si>
  <si>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</si>
  <si>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</si>
  <si>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</si>
  <si>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</si>
  <si>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</si>
  <si>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</si>
  <si>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</si>
  <si>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</si>
  <si>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</si>
  <si>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</si>
  <si>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</si>
  <si>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</si>
  <si>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</si>
  <si>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</si>
  <si>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</si>
  <si>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</si>
  <si>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</si>
  <si>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</si>
  <si>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</si>
  <si>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</si>
  <si>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</si>
  <si>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</si>
  <si>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</si>
  <si>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</si>
  <si>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</si>
  <si>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</si>
  <si>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</si>
  <si>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</si>
  <si>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</si>
  <si>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</si>
  <si>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</si>
  <si>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</si>
  <si>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</si>
  <si>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</si>
  <si>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</si>
  <si>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</si>
  <si>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</si>
  <si>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</si>
  <si>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</si>
  <si>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</si>
  <si>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</si>
  <si>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</si>
  <si>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</si>
  <si>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</si>
  <si>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</si>
  <si>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</si>
  <si>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</si>
  <si>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</si>
  <si>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</si>
  <si>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</si>
  <si>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</si>
  <si>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</si>
  <si>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</si>
  <si>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</si>
  <si>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</si>
  <si>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</si>
  <si>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</si>
  <si>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</si>
  <si>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</si>
  <si>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</si>
  <si>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</si>
  <si>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</si>
  <si>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</si>
  <si>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</si>
  <si>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</si>
  <si>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</si>
  <si>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</si>
  <si>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</si>
  <si>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</si>
  <si>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</si>
  <si>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</si>
  <si>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</si>
  <si>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</si>
  <si>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</si>
  <si>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</si>
  <si>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</si>
  <si>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</si>
  <si>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</si>
  <si>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</si>
  <si>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</si>
  <si>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</si>
  <si>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</si>
  <si>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</si>
  <si>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</si>
  <si>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</si>
  <si>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</si>
  <si>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</si>
  <si>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</si>
  <si>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</si>
  <si>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</si>
  <si>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</si>
  <si>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</si>
  <si>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</si>
  <si>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</si>
  <si>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</si>
  <si>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</si>
  <si>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</si>
  <si>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</si>
  <si>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</si>
  <si>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</si>
  <si>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</si>
  <si>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</si>
  <si>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</si>
  <si>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</si>
  <si>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</si>
  <si>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</si>
  <si>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</si>
  <si>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</si>
  <si>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</si>
  <si>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</si>
  <si>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</si>
  <si>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</si>
  <si>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</si>
  <si>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</si>
  <si>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</si>
  <si>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</si>
  <si>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</si>
  <si>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</si>
  <si>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</si>
  <si>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</si>
  <si>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</si>
  <si>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</si>
  <si>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</si>
  <si>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</si>
  <si>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</si>
  <si>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</si>
  <si>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</si>
  <si>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</si>
  <si>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</si>
  <si>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</si>
  <si>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</si>
  <si>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</si>
  <si>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</si>
  <si>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</si>
  <si>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</si>
  <si>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</si>
  <si>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</si>
  <si>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</si>
  <si>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</si>
  <si>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</si>
  <si>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</si>
  <si>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</si>
  <si>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</si>
  <si>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</si>
  <si>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</si>
  <si>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</si>
  <si>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</si>
  <si>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</si>
  <si>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</si>
  <si>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</si>
  <si>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</si>
  <si>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</si>
  <si>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</si>
  <si>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</si>
  <si>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</si>
  <si>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</si>
  <si>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</si>
  <si>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</si>
  <si>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</si>
  <si>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</si>
  <si>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</si>
  <si>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</si>
  <si>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</si>
  <si>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</si>
  <si>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</si>
  <si>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</si>
  <si>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</si>
  <si>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</si>
  <si>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</si>
  <si>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</si>
  <si>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</si>
  <si>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</si>
  <si>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</si>
  <si>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</si>
  <si>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</si>
  <si>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</si>
  <si>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</si>
  <si>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</si>
  <si>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</si>
  <si>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</si>
  <si>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</si>
  <si>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</si>
  <si>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</si>
  <si>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</si>
  <si>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</si>
  <si>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</si>
  <si>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</si>
  <si>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</si>
  <si>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</si>
  <si>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</si>
  <si>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</si>
  <si>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</si>
  <si>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</si>
  <si>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</si>
  <si>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</si>
  <si>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</si>
  <si>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</si>
  <si>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</si>
  <si>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</si>
  <si>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</si>
  <si>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</si>
  <si>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</si>
  <si>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</si>
  <si>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</si>
  <si>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</si>
  <si>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</si>
  <si>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</si>
  <si>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</si>
  <si>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</si>
  <si>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</si>
  <si>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</si>
  <si>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</si>
  <si>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</si>
  <si>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</si>
  <si>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</si>
  <si>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</si>
  <si>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</si>
  <si>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</si>
  <si>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</si>
  <si>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</si>
  <si>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</si>
  <si>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</si>
  <si>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</si>
  <si>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</si>
  <si>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</si>
  <si>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</si>
  <si>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</si>
  <si>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</si>
  <si>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</si>
  <si>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</si>
  <si>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</si>
  <si>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</si>
  <si>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</si>
  <si>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</si>
  <si>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</si>
  <si>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</si>
  <si>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</si>
  <si>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</si>
  <si>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</si>
  <si>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</si>
  <si>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</si>
  <si>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</si>
  <si>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</si>
  <si>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</si>
  <si>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</si>
  <si>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</si>
  <si>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</si>
  <si>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</si>
  <si>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</si>
  <si>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</si>
  <si>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</si>
  <si>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</si>
  <si>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</si>
  <si>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</si>
  <si>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</si>
  <si>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</si>
  <si>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</si>
  <si>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</si>
  <si>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</si>
  <si>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</si>
  <si>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</si>
  <si>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</si>
  <si>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</si>
  <si>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</si>
  <si>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</si>
  <si>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</si>
  <si>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</si>
  <si>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</si>
  <si>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</si>
  <si>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</si>
  <si>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</si>
  <si>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</si>
  <si>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</si>
  <si>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</si>
  <si>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</si>
  <si>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</si>
  <si>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</si>
  <si>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</si>
  <si>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</si>
  <si>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</si>
  <si>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</si>
  <si>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</si>
  <si>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</si>
  <si>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</si>
  <si>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</si>
  <si>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</si>
  <si>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</si>
  <si>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</si>
  <si>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</si>
  <si>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</si>
  <si>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</si>
  <si>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</si>
  <si>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</si>
  <si>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</si>
  <si>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</si>
  <si>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</si>
  <si>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</si>
  <si>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</si>
  <si>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</si>
  <si>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</si>
  <si>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</si>
  <si>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</si>
  <si>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</si>
  <si>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</si>
  <si>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</si>
  <si>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</si>
  <si>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</si>
  <si>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</si>
  <si>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</si>
  <si>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</si>
  <si>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</si>
  <si>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</si>
  <si>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</si>
  <si>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</si>
  <si>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</si>
  <si>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</si>
  <si>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</si>
  <si>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</si>
  <si>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</si>
  <si>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</si>
  <si>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</si>
  <si>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</si>
  <si>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</si>
  <si>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</si>
  <si>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</si>
  <si>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</si>
  <si>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</si>
  <si>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</si>
  <si>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</si>
  <si>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</si>
  <si>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</si>
  <si>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</si>
  <si>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</si>
  <si>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</si>
  <si>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</si>
  <si>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</si>
  <si>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</si>
  <si>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</si>
  <si>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</si>
  <si>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</si>
  <si>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</si>
  <si>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</si>
  <si>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</si>
  <si>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</si>
  <si>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</si>
  <si>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</si>
  <si>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</si>
  <si>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</si>
  <si>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</si>
  <si>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</si>
  <si>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</si>
  <si>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</si>
  <si>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</si>
  <si>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</si>
  <si>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</si>
  <si>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</si>
  <si>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</si>
  <si>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</si>
  <si>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</si>
  <si>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</si>
  <si>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</si>
  <si>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</si>
  <si>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</si>
  <si>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</si>
  <si>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</si>
  <si>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</si>
  <si>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</si>
  <si>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</si>
  <si>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</si>
  <si>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</si>
  <si>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</si>
  <si>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</si>
  <si>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</si>
  <si>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</si>
  <si>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</si>
  <si>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</si>
  <si>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</si>
  <si>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</si>
  <si>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</si>
  <si>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</si>
  <si>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</si>
  <si>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</si>
  <si>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</si>
  <si>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</si>
  <si>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</si>
  <si>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</si>
  <si>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</si>
  <si>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</si>
  <si>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</si>
  <si>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</si>
  <si>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</si>
  <si>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</si>
  <si>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</si>
  <si>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</si>
  <si>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</si>
  <si>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</si>
  <si>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</si>
  <si>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</si>
  <si>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</si>
  <si>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</si>
  <si>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</si>
  <si>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</si>
  <si>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</si>
  <si>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</si>
  <si>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</si>
  <si>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</si>
  <si>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</si>
  <si>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</si>
  <si>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</si>
  <si>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</si>
  <si>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</si>
  <si>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</si>
  <si>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</si>
  <si>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</si>
  <si>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</si>
  <si>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</si>
  <si>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</si>
  <si>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</si>
  <si>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</si>
  <si>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</si>
  <si>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</si>
  <si>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</si>
  <si>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</si>
  <si>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</si>
  <si>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</si>
  <si>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</si>
  <si>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</si>
  <si>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</si>
  <si>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</si>
  <si>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</si>
  <si>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</si>
  <si>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</si>
  <si>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</si>
  <si>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</si>
  <si>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</si>
  <si>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</si>
  <si>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</si>
  <si>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</si>
  <si>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</si>
  <si>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</si>
  <si>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</si>
  <si>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</si>
  <si>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</si>
  <si>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</si>
  <si>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</si>
  <si>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</si>
  <si>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</si>
  <si>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</si>
  <si>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</si>
  <si>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</si>
  <si>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</si>
  <si>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</si>
  <si>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</si>
  <si>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</si>
  <si>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</si>
  <si>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</si>
  <si>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</si>
  <si>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</si>
  <si>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</si>
  <si>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</si>
  <si>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</si>
  <si>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</si>
  <si>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</si>
  <si>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</si>
  <si>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</si>
  <si>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</si>
  <si>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</si>
  <si>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</si>
  <si>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</si>
  <si>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</si>
  <si>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</si>
  <si>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</si>
  <si>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</si>
  <si>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</si>
  <si>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</si>
  <si>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</si>
  <si>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</si>
  <si>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</si>
  <si>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</si>
  <si>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</si>
  <si>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</si>
  <si>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</si>
  <si>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</si>
  <si>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</si>
  <si>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</si>
  <si>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</si>
  <si>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</si>
  <si>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</si>
  <si>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</si>
  <si>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</si>
  <si>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</si>
  <si>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</si>
  <si>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</si>
  <si>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</si>
  <si>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</si>
  <si>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</si>
  <si>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</si>
  <si>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</si>
  <si>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</si>
  <si>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</si>
  <si>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</si>
  <si>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</si>
  <si>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</si>
  <si>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</si>
  <si>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</si>
  <si>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</si>
  <si>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</si>
  <si>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</si>
  <si>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</si>
  <si>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</si>
  <si>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</si>
  <si>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</si>
  <si>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</si>
  <si>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</si>
  <si>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</si>
  <si>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</si>
  <si>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</si>
  <si>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</si>
  <si>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</si>
  <si>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</si>
  <si>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</si>
  <si>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</si>
  <si>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</si>
  <si>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</si>
  <si>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</si>
  <si>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</si>
  <si>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</si>
  <si>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</si>
  <si>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</si>
  <si>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</si>
  <si>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</si>
  <si>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</si>
  <si>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</si>
  <si>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</si>
  <si>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</si>
  <si>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</si>
  <si>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</si>
  <si>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</si>
  <si>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</si>
  <si>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</si>
  <si>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</si>
  <si>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</si>
  <si>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</si>
  <si>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</si>
  <si>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</si>
  <si>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</si>
  <si>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</si>
  <si>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</si>
  <si>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</si>
  <si>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</si>
  <si>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</si>
  <si>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</si>
  <si>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</si>
  <si>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</si>
  <si>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</si>
  <si>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</si>
  <si>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</si>
  <si>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</si>
  <si>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</si>
  <si>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</si>
  <si>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</si>
  <si>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</si>
  <si>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</si>
  <si>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</si>
  <si>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</si>
  <si>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</si>
  <si>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</si>
  <si>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</si>
  <si>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</si>
  <si>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</si>
  <si>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</si>
  <si>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</si>
  <si>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</si>
  <si>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</si>
  <si>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</si>
  <si>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</si>
  <si>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</si>
  <si>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</si>
  <si>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</si>
  <si>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</si>
  <si>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</si>
  <si>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</si>
  <si>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</si>
  <si>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</si>
  <si>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</si>
  <si>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</si>
  <si>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</si>
  <si>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</si>
  <si>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</si>
  <si>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</si>
  <si>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</si>
  <si>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</si>
  <si>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</si>
  <si>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</si>
  <si>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</si>
  <si>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</si>
  <si>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</si>
  <si>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</si>
  <si>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</si>
  <si>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</si>
  <si>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</si>
  <si>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</si>
  <si>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</si>
  <si>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</si>
  <si>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</si>
  <si>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</si>
  <si>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</si>
  <si>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</si>
  <si>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</si>
  <si>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</si>
  <si>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</si>
  <si>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</si>
  <si>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</si>
  <si>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</si>
  <si>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</si>
  <si>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</si>
  <si>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</si>
  <si>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</si>
  <si>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</si>
  <si>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</si>
  <si>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</si>
  <si>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</si>
  <si>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</si>
  <si>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</si>
  <si>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</si>
  <si>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</si>
  <si>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</si>
  <si>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</si>
  <si>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</si>
  <si>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</si>
  <si>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</si>
  <si>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</si>
  <si>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</si>
  <si>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</si>
  <si>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</si>
  <si>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</si>
  <si>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</si>
  <si>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</si>
  <si>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</si>
  <si>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</si>
  <si>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</si>
  <si>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</si>
  <si>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</si>
  <si>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</si>
  <si>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</si>
  <si>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</si>
  <si>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</si>
  <si>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</si>
  <si>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</si>
  <si>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</si>
  <si>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</si>
  <si>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</si>
  <si>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</si>
  <si>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</si>
  <si>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</si>
  <si>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</si>
  <si>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</si>
  <si>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</si>
  <si>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</si>
  <si>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</si>
  <si>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</si>
  <si>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</si>
  <si>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</si>
  <si>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</si>
  <si>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</si>
  <si>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</si>
  <si>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</si>
  <si>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</si>
  <si>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</si>
  <si>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</si>
  <si>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</si>
  <si>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</si>
  <si>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</si>
  <si>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</si>
  <si>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</si>
  <si>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</si>
  <si>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</si>
  <si>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</si>
  <si>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</si>
  <si>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</si>
  <si>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</si>
  <si>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</si>
  <si>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</si>
  <si>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</si>
  <si>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</si>
  <si>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</si>
  <si>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</si>
  <si>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</si>
  <si>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</si>
  <si>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</si>
  <si>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</si>
  <si>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</si>
  <si>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</si>
  <si>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</si>
  <si>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</si>
  <si>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</si>
  <si>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</si>
  <si>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</si>
  <si>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</si>
  <si>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</si>
  <si>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</si>
  <si>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</si>
  <si>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</si>
  <si>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</si>
  <si>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</si>
  <si>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</si>
  <si>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</si>
  <si>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</si>
  <si>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</si>
  <si>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</si>
  <si>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</si>
  <si>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</si>
  <si>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</si>
  <si>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</si>
  <si>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</si>
  <si>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</si>
  <si>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</si>
  <si>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</si>
  <si>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</si>
  <si>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</si>
  <si>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</si>
  <si>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</si>
  <si>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</si>
  <si>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</si>
  <si>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</si>
  <si>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</si>
  <si>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</si>
  <si>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</si>
  <si>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</si>
  <si>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</si>
  <si>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</si>
  <si>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</si>
  <si>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</si>
  <si>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</si>
  <si>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</si>
  <si>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</si>
  <si>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</si>
  <si>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</si>
  <si>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</si>
  <si>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</si>
  <si>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</si>
  <si>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</si>
  <si>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</si>
  <si>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</si>
  <si>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</si>
  <si>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</si>
  <si>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</si>
  <si>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</si>
  <si>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</si>
  <si>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</si>
  <si>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</si>
  <si>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</si>
  <si>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</si>
  <si>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</si>
  <si>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</si>
  <si>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</si>
  <si>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</si>
  <si>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</si>
  <si>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</si>
  <si>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</si>
  <si>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</si>
  <si>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</si>
  <si>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</si>
  <si>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</si>
  <si>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</si>
  <si>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</si>
  <si>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</si>
  <si>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</si>
  <si>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</si>
  <si>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</si>
  <si>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</si>
  <si>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</si>
  <si>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</si>
  <si>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</si>
  <si>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</si>
  <si>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</si>
  <si>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</si>
  <si>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</si>
  <si>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</si>
  <si>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</si>
  <si>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扣出让金</t>
  </si>
  <si>
    <t>钢混</t>
  </si>
  <si>
    <t>二级分类</t>
  </si>
  <si>
    <t>市区</t>
  </si>
  <si>
    <t>较好</t>
  </si>
  <si>
    <t>七通一平</t>
  </si>
  <si>
    <t>地下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</si>
</sst>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8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8"/>
      <c r="B19" s="1798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8"/>
      <c r="B20" s="1798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8"/>
      <c r="B21" s="1798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8"/>
      <c r="B22" s="1798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8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8"/>
      <c r="B24" s="1798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8"/>
      <c r="B25" s="1798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8"/>
      <c r="B26" s="1798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8"/>
      <c r="B27" s="1798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8"/>
      <c r="B28" s="1798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8"/>
      <c r="B29" s="1798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8"/>
      <c r="B30" s="1798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8"/>
      <c r="B31" s="1798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8"/>
      <c r="B32" s="1798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8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8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8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8"/>
      <c r="B36" s="1798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8"/>
      <c r="B37" s="1798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8"/>
      <c r="B38" s="1798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8"/>
      <c r="B39" s="1798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8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8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8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8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8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8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8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8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8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8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8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8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8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8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8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8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8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8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8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8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8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8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8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8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8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8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8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8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8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8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8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8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8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8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8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8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8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8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8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8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8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8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8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8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8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8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8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8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8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8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0.74970000000000003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F26" sqref="F26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38.82</v>
      </c>
      <c r="I1" s="726" t="s">
        <v>1356</v>
      </c>
      <c r="J1" s="526">
        <f>主表!B6</f>
        <v>4.57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 t="s">
        <v>1774</v>
      </c>
      <c r="J2" s="736"/>
      <c r="AE2" s="731"/>
      <c r="AF2" s="731"/>
    </row>
    <row r="3" spans="1:36" ht="15.75">
      <c r="A3" s="687" t="s">
        <v>916</v>
      </c>
      <c r="B3" s="1439">
        <f>C18</f>
        <v>1133</v>
      </c>
      <c r="C3" s="732" t="s">
        <v>917</v>
      </c>
      <c r="D3" s="733" t="s">
        <v>256</v>
      </c>
      <c r="E3" s="737" t="s">
        <v>1770</v>
      </c>
      <c r="F3" s="1500" t="s">
        <v>1229</v>
      </c>
      <c r="G3" s="238">
        <f>IF(F3="容积率",主表!B8,主表!B9)</f>
        <v>8.49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1033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680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1220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f>ROUND((550+1300)/2,0)</f>
        <v>925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1.1922999999999999</v>
      </c>
      <c r="D9" s="1638" t="s">
        <v>265</v>
      </c>
      <c r="E9" s="1639">
        <v>37257</v>
      </c>
      <c r="F9" s="1640">
        <f>ROUND(SUMIF(地价!B3:F3,E2,地价!B70:F70),0)</f>
        <v>104</v>
      </c>
      <c r="G9" s="1641" t="s">
        <v>266</v>
      </c>
      <c r="H9" s="1642">
        <f>主表!B4</f>
        <v>38317</v>
      </c>
      <c r="I9" s="1643">
        <f>ROUND(SUMPRODUCT((地价!A20:A70=YEAR(H9)&amp;"-"&amp;ROUNDUP(MONTH(H9)/3,0))*(地价!B3:F3=E2)*(地价!B20:F70)),0)</f>
        <v>124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0.83220000000000005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38.46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0.83220000000000005</v>
      </c>
      <c r="D11" s="1532" t="s">
        <v>1771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0.83220000000000005</v>
      </c>
      <c r="E12" s="1523">
        <f>ROUNDDOWN(G3,1)</f>
        <v>8.4</v>
      </c>
      <c r="F12" s="1524">
        <f>IF(G3&lt;=10,SUMPRODUCT(('2002容积率修正'!A3:A102=E12)*('2002容积率修正'!B2:D2=E2)*('2002容积率修正'!B3:D102)),"——")</f>
        <v>0.83399999999999996</v>
      </c>
      <c r="G12" s="1522">
        <f>ROUNDUP(G3,1)</f>
        <v>8.5</v>
      </c>
      <c r="H12" s="638">
        <f>IF(G3&lt;=10,SUMPRODUCT(('2002容积率修正'!A3:A102=G12)*('2002容积率修正'!B2:D2=E2)*('2002容积率修正'!B3:D102)),"——")</f>
        <v>0.83199999999999996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0.83220000000000005</v>
      </c>
      <c r="E13" s="1523">
        <f>ROUNDDOWN(G3,1)</f>
        <v>8.4</v>
      </c>
      <c r="F13" s="1524">
        <f>IF(G3&lt;=10,SUMPRODUCT(('2002容积率修正'!A3:A102=E13)*('2002容积率修正'!E2:G2=E2)*('2002容积率修正'!E3:G102)),"——")</f>
        <v>0.70899999999999996</v>
      </c>
      <c r="G13" s="1522">
        <f>ROUNDUP(G3,1)</f>
        <v>8.5</v>
      </c>
      <c r="H13" s="638">
        <f>IF(G3&lt;=10,SUMPRODUCT(('2002容积率修正'!A3:A102=G13)*('2002容积率修正'!E2:G2=E2)*('2002容积率修正'!E3:G102)),"——")</f>
        <v>0.70699999999999996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1.125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1773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1133</v>
      </c>
      <c r="D18" s="647">
        <f>H1</f>
        <v>38.82</v>
      </c>
      <c r="E18" s="648">
        <f>ROUND(C18*D18,0)</f>
        <v>43983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9622</v>
      </c>
      <c r="D19" s="647">
        <f>J1</f>
        <v>4.57</v>
      </c>
      <c r="E19" s="648">
        <f>ROUND(C19*D19,0)</f>
        <v>43973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1033</v>
      </c>
      <c r="D20" s="653">
        <f>H1</f>
        <v>38.82</v>
      </c>
      <c r="E20" s="654">
        <f>ROUND(C20*D20,0)</f>
        <v>40101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8766</v>
      </c>
      <c r="D21" s="656">
        <f>J1</f>
        <v>4.57</v>
      </c>
      <c r="E21" s="657">
        <f t="shared" ref="E21" si="0">ROUND(C21*D21,0)</f>
        <v>40061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680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12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1.125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 t="s">
        <v>1772</v>
      </c>
      <c r="D60" s="493">
        <f t="shared" ref="D60:D67" si="7">SUMIF($F$59:$J$59,C60,F60:J60)</f>
        <v>1.2500000000000001E-2</v>
      </c>
      <c r="E60" s="253">
        <f>SUM(D60:D67)</f>
        <v>0.12499999999999999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 t="s">
        <v>1772</v>
      </c>
      <c r="D61" s="493">
        <f t="shared" si="7"/>
        <v>2.5000000000000001E-2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1772</v>
      </c>
      <c r="D62" s="493">
        <f t="shared" si="7"/>
        <v>1.2500000000000001E-2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 t="s">
        <v>1772</v>
      </c>
      <c r="D63" s="493">
        <f t="shared" si="7"/>
        <v>1.2500000000000001E-2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 t="s">
        <v>1772</v>
      </c>
      <c r="D64" s="493">
        <f t="shared" si="7"/>
        <v>0.01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 t="s">
        <v>1772</v>
      </c>
      <c r="D65" s="493">
        <f t="shared" si="7"/>
        <v>1.4999999999999999E-2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 t="s">
        <v>1772</v>
      </c>
      <c r="D66" s="493">
        <f t="shared" si="7"/>
        <v>2.5000000000000001E-2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 t="s">
        <v>1772</v>
      </c>
      <c r="D67" s="493">
        <f t="shared" si="7"/>
        <v>1.2500000000000001E-2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8.49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0.83209999999999995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0.57530000000000003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0.77100000000000002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0.83209999999999995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0.64259999999999995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SUMPRODUCT((K3:K7=L1)*(L2:O2=K1)*(L3:O7))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19" t="s">
        <v>1439</v>
      </c>
      <c r="E2" s="1823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0"/>
      <c r="E3" s="1824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0"/>
      <c r="E4" s="1824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1"/>
      <c r="E5" s="1825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19" t="s">
        <v>1440</v>
      </c>
      <c r="E6" s="1823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20"/>
      <c r="E7" s="1824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1"/>
      <c r="E8" s="1825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38.82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4.57</v>
      </c>
      <c r="C10" s="722"/>
      <c r="D10" s="1819" t="s">
        <v>1418</v>
      </c>
      <c r="E10" s="1823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8.49</v>
      </c>
      <c r="C11" s="722"/>
      <c r="D11" s="1822"/>
      <c r="E11" s="1826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6.6429999999999998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0.85529999999999995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4.4999999999999998E-2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38.46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>
        <f>ROUND(C28/B11,0)</f>
        <v>0</v>
      </c>
      <c r="D27" s="647">
        <f>B9</f>
        <v>38.82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4.57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>
        <f>ROUND(C30/B11,0)</f>
        <v>0</v>
      </c>
      <c r="D29" s="653">
        <f>B9</f>
        <v>38.82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9"/>
      <c r="B30" s="982" t="s">
        <v>1468</v>
      </c>
      <c r="C30" s="643">
        <f>IF(主表!B4&lt;DATE(2002,12,10),ROUND(C14*C21*C22+C15*B11,0),0)</f>
        <v>0</v>
      </c>
      <c r="D30" s="695">
        <f>B10</f>
        <v>4.57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7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8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8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8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8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8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8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8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3" t="s">
        <v>91</v>
      </c>
      <c r="D4" s="1854"/>
      <c r="E4" s="1855" t="s">
        <v>92</v>
      </c>
      <c r="F4" s="1856"/>
      <c r="G4" s="1853" t="s">
        <v>93</v>
      </c>
      <c r="H4" s="1854"/>
      <c r="I4" s="1853" t="s">
        <v>94</v>
      </c>
      <c r="J4" s="1854"/>
      <c r="K4" s="142" t="s">
        <v>95</v>
      </c>
      <c r="L4" s="451"/>
      <c r="M4" s="452"/>
      <c r="N4" s="452"/>
      <c r="O4" s="452"/>
      <c r="P4" s="1857" t="s">
        <v>96</v>
      </c>
      <c r="Q4" s="1858"/>
      <c r="R4" s="1840" t="s">
        <v>92</v>
      </c>
      <c r="S4" s="1841"/>
      <c r="T4" s="1840" t="s">
        <v>93</v>
      </c>
      <c r="U4" s="1841"/>
      <c r="V4" s="1837" t="s">
        <v>94</v>
      </c>
      <c r="W4" s="1837"/>
      <c r="X4" s="201"/>
      <c r="Y4" s="1840" t="s">
        <v>96</v>
      </c>
      <c r="Z4" s="1841"/>
      <c r="AA4" s="1850" t="s">
        <v>92</v>
      </c>
      <c r="AB4" s="1851" t="s">
        <v>93</v>
      </c>
      <c r="AC4" s="1850" t="s">
        <v>94</v>
      </c>
    </row>
    <row r="5" spans="1:30" ht="15">
      <c r="A5" s="41"/>
      <c r="B5" s="42"/>
      <c r="C5" s="1865" t="s">
        <v>230</v>
      </c>
      <c r="D5" s="1866"/>
      <c r="E5" s="1863" t="s">
        <v>231</v>
      </c>
      <c r="F5" s="1864"/>
      <c r="G5" s="1865" t="s">
        <v>234</v>
      </c>
      <c r="H5" s="1866"/>
      <c r="I5" s="1865" t="s">
        <v>232</v>
      </c>
      <c r="J5" s="1866"/>
      <c r="K5" s="142"/>
      <c r="L5" s="451"/>
      <c r="M5" s="452"/>
      <c r="N5" s="452"/>
      <c r="O5" s="452"/>
      <c r="P5" s="1859"/>
      <c r="Q5" s="1860"/>
      <c r="R5" s="1842"/>
      <c r="S5" s="1843"/>
      <c r="T5" s="1842"/>
      <c r="U5" s="1843"/>
      <c r="V5" s="1837"/>
      <c r="W5" s="1837"/>
      <c r="X5" s="201"/>
      <c r="Y5" s="1842"/>
      <c r="Z5" s="1843"/>
      <c r="AA5" s="1851"/>
      <c r="AB5" s="1851"/>
      <c r="AC5" s="1851"/>
    </row>
    <row r="6" spans="1:30" ht="15.75" thickBot="1">
      <c r="A6" s="43"/>
      <c r="B6" s="44"/>
      <c r="C6" s="1867" t="s">
        <v>233</v>
      </c>
      <c r="D6" s="1868"/>
      <c r="E6" s="1869" t="s">
        <v>233</v>
      </c>
      <c r="F6" s="1870"/>
      <c r="G6" s="1867" t="s">
        <v>233</v>
      </c>
      <c r="H6" s="1868"/>
      <c r="I6" s="1867" t="s">
        <v>233</v>
      </c>
      <c r="J6" s="1868"/>
      <c r="K6" s="142" t="s">
        <v>97</v>
      </c>
      <c r="L6" s="451"/>
      <c r="M6" s="452"/>
      <c r="N6" s="452"/>
      <c r="O6" s="452"/>
      <c r="P6" s="1861"/>
      <c r="Q6" s="1862"/>
      <c r="R6" s="1842"/>
      <c r="S6" s="1843"/>
      <c r="T6" s="1844"/>
      <c r="U6" s="1845"/>
      <c r="V6" s="1837"/>
      <c r="W6" s="1837"/>
      <c r="X6" s="201"/>
      <c r="Y6" s="1844"/>
      <c r="Z6" s="1845"/>
      <c r="AA6" s="1852"/>
      <c r="AB6" s="1852"/>
      <c r="AC6" s="1852"/>
    </row>
    <row r="7" spans="1:30" s="22" customFormat="1" ht="15.75" thickBot="1">
      <c r="A7" s="45" t="s">
        <v>98</v>
      </c>
      <c r="B7" s="46"/>
      <c r="C7" s="1385">
        <f>主表!B4</f>
        <v>38317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8" t="s">
        <v>99</v>
      </c>
      <c r="Q7" s="184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8" t="s">
        <v>99</v>
      </c>
      <c r="Z7" s="183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8" t="s">
        <v>125</v>
      </c>
      <c r="Q8" s="183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8" t="s">
        <v>125</v>
      </c>
      <c r="Z8" s="183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0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8.49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48"/>
      <c r="Q16" s="206"/>
      <c r="R16" s="207"/>
      <c r="S16" s="208"/>
      <c r="T16" s="207"/>
      <c r="U16" s="208"/>
      <c r="V16" s="207"/>
      <c r="W16" s="208"/>
      <c r="X16" s="201"/>
      <c r="Y16" s="1848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48"/>
      <c r="Q18" s="206"/>
      <c r="R18" s="207"/>
      <c r="S18" s="208"/>
      <c r="T18" s="207"/>
      <c r="U18" s="208"/>
      <c r="V18" s="207"/>
      <c r="W18" s="208"/>
      <c r="X18" s="201"/>
      <c r="Y18" s="1848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48"/>
      <c r="Q20" s="206"/>
      <c r="R20" s="207"/>
      <c r="S20" s="208"/>
      <c r="T20" s="207"/>
      <c r="U20" s="208"/>
      <c r="V20" s="207"/>
      <c r="W20" s="208"/>
      <c r="X20" s="201"/>
      <c r="Y20" s="1848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48"/>
      <c r="Q22" s="206"/>
      <c r="R22" s="207"/>
      <c r="S22" s="208"/>
      <c r="T22" s="207"/>
      <c r="U22" s="208"/>
      <c r="V22" s="207"/>
      <c r="W22" s="208"/>
      <c r="X22" s="201"/>
      <c r="Y22" s="1848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48"/>
      <c r="Q24" s="235"/>
      <c r="R24" s="207"/>
      <c r="S24" s="208"/>
      <c r="T24" s="207"/>
      <c r="U24" s="208"/>
      <c r="V24" s="207"/>
      <c r="W24" s="208"/>
      <c r="X24" s="234"/>
      <c r="Y24" s="1848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48"/>
      <c r="Q26" s="206"/>
      <c r="R26" s="207"/>
      <c r="S26" s="208"/>
      <c r="T26" s="207"/>
      <c r="U26" s="208"/>
      <c r="V26" s="207"/>
      <c r="W26" s="208"/>
      <c r="X26" s="201"/>
      <c r="Y26" s="1848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48"/>
      <c r="Q28" s="18"/>
      <c r="R28" s="202"/>
      <c r="S28" s="203"/>
      <c r="T28" s="202"/>
      <c r="U28" s="203"/>
      <c r="V28" s="202"/>
      <c r="W28" s="203"/>
      <c r="X28" s="204"/>
      <c r="Y28" s="1848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8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48"/>
      <c r="Q30" s="500"/>
      <c r="R30" s="202"/>
      <c r="S30" s="203"/>
      <c r="T30" s="202"/>
      <c r="U30" s="203"/>
      <c r="V30" s="202"/>
      <c r="W30" s="203"/>
      <c r="X30" s="204"/>
      <c r="Y30" s="184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48"/>
      <c r="Q33" s="206"/>
      <c r="R33" s="207"/>
      <c r="S33" s="208"/>
      <c r="T33" s="207"/>
      <c r="U33" s="208"/>
      <c r="V33" s="207"/>
      <c r="W33" s="208"/>
      <c r="X33" s="201"/>
      <c r="Y33" s="184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4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4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3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3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3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3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3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3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3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3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3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0" t="str">
        <f>A46</f>
        <v>成交单价</v>
      </c>
      <c r="Q46" s="1830"/>
      <c r="R46" s="1837">
        <f>E46</f>
        <v>0</v>
      </c>
      <c r="S46" s="1837"/>
      <c r="T46" s="1837">
        <f>G46</f>
        <v>0</v>
      </c>
      <c r="U46" s="1837"/>
      <c r="V46" s="1837">
        <f>I46</f>
        <v>0</v>
      </c>
      <c r="W46" s="183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0" t="str">
        <f>A47</f>
        <v>比较价值（元/平方米）</v>
      </c>
      <c r="Q47" s="1830"/>
      <c r="R47" s="1831" t="e">
        <f>ROUND(PRODUCT(R46,AA7:AA45),0)</f>
        <v>#DIV/0!</v>
      </c>
      <c r="S47" s="1831"/>
      <c r="T47" s="1831" t="e">
        <f>ROUND(PRODUCT(T46,AB7:AB45),0)</f>
        <v>#DIV/0!</v>
      </c>
      <c r="U47" s="1831"/>
      <c r="V47" s="1831" t="e">
        <f>ROUND(PRODUCT(V46,AC7:AC45),0)</f>
        <v>#DIV/0!</v>
      </c>
      <c r="W47" s="1831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2" t="str">
        <f>A48</f>
        <v>估价对象比较价值（单价内涵，元/平方米）</v>
      </c>
      <c r="Q48" s="1833"/>
      <c r="R48" s="1834" t="e">
        <f>ROUND(AVERAGE(R47:V47),0)</f>
        <v>#DIV/0!</v>
      </c>
      <c r="S48" s="1834"/>
      <c r="T48" s="1834"/>
      <c r="U48" s="1834"/>
      <c r="V48" s="1834"/>
      <c r="W48" s="1834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2004-11-1</v>
      </c>
      <c r="D56" s="1688">
        <f>EDATE(C56,-3)</f>
        <v>38200</v>
      </c>
      <c r="E56" s="1688">
        <f t="shared" ref="E56:O56" si="15">EDATE(D56,-3)</f>
        <v>38108</v>
      </c>
      <c r="F56" s="1688">
        <f t="shared" si="15"/>
        <v>38018</v>
      </c>
      <c r="G56" s="1688">
        <f t="shared" si="15"/>
        <v>37926</v>
      </c>
      <c r="H56" s="1688">
        <f t="shared" si="15"/>
        <v>37834</v>
      </c>
      <c r="I56" s="1688">
        <f t="shared" si="15"/>
        <v>37742</v>
      </c>
      <c r="J56" s="1688">
        <f t="shared" si="15"/>
        <v>37653</v>
      </c>
      <c r="K56" s="1688">
        <f t="shared" si="15"/>
        <v>37561</v>
      </c>
      <c r="L56" s="1688">
        <f t="shared" si="15"/>
        <v>37469</v>
      </c>
      <c r="M56" s="1688">
        <f t="shared" si="15"/>
        <v>37377</v>
      </c>
      <c r="N56" s="1688">
        <f t="shared" si="15"/>
        <v>37288</v>
      </c>
      <c r="O56" s="1688">
        <f t="shared" si="15"/>
        <v>37196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2004-4</v>
      </c>
      <c r="D58" s="1687" t="str">
        <f t="shared" ref="D58:O58" si="16">YEAR(D56)&amp;"-"&amp;ROUNDUP(MONTH(D56)/3,0)</f>
        <v>2004-3</v>
      </c>
      <c r="E58" s="1687" t="str">
        <f t="shared" si="16"/>
        <v>2004-2</v>
      </c>
      <c r="F58" s="1687" t="str">
        <f t="shared" si="16"/>
        <v>2004-1</v>
      </c>
      <c r="G58" s="1687" t="str">
        <f t="shared" si="16"/>
        <v>2003-4</v>
      </c>
      <c r="H58" s="1687" t="str">
        <f t="shared" si="16"/>
        <v>2003-3</v>
      </c>
      <c r="I58" s="1687" t="str">
        <f t="shared" si="16"/>
        <v>2003-2</v>
      </c>
      <c r="J58" s="1687" t="str">
        <f t="shared" si="16"/>
        <v>2003-1</v>
      </c>
      <c r="K58" s="1687" t="str">
        <f t="shared" si="16"/>
        <v>2002-4</v>
      </c>
      <c r="L58" s="1687" t="str">
        <f t="shared" si="16"/>
        <v>2002-3</v>
      </c>
      <c r="M58" s="1687" t="str">
        <f t="shared" si="16"/>
        <v>2002-2</v>
      </c>
      <c r="N58" s="1687" t="str">
        <f t="shared" si="16"/>
        <v>2002-1</v>
      </c>
      <c r="O58" s="1687" t="str">
        <f t="shared" si="16"/>
        <v>2001-4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43084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38317</v>
      </c>
      <c r="D2" s="1044" t="str">
        <f>主表!A24</f>
        <v>土地开发期</v>
      </c>
      <c r="E2" s="1040">
        <f>主表!B24</f>
        <v>2</v>
      </c>
      <c r="F2" s="1000" t="s">
        <v>1522</v>
      </c>
      <c r="G2" s="1001">
        <f ca="1">INDIRECT("e"&amp;$K$2)/100</f>
        <v>5.7599999999999998E-2</v>
      </c>
      <c r="H2" s="1000" t="s">
        <v>1523</v>
      </c>
      <c r="I2" s="1001">
        <f ca="1">SUMIF(F4:F8,E2,G4:G8)/100</f>
        <v>2.1000000000000001E-2</v>
      </c>
      <c r="J2" s="1170">
        <f>IF(C2&gt;C14,0,MATCH(C2,C$14:C$59,-1))+IF(SUMIF(C14:C59,C2,D14:D59)=0,14,13)</f>
        <v>42</v>
      </c>
      <c r="K2" s="1170">
        <f>MATCH(E2,C4:C8,1)+IF(SUMIF(C4:C8,E2,D4:D8)=0,3,2)</f>
        <v>6</v>
      </c>
      <c r="L2" s="1170">
        <f>IF(C2&gt;M14,0,MATCH(C2,M$14:M$52,-1))+IF(SUMIF(M14:M52,C2,N14:N52)=0,14,13)</f>
        <v>39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5.7599999999999998E-2</v>
      </c>
      <c r="H3" s="1051" t="s">
        <v>1523</v>
      </c>
      <c r="I3" s="1052">
        <f ca="1">SUMIF(F4:F8,E3,H4:H8)/100</f>
        <v>3.2400000000000005E-2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5.22</v>
      </c>
      <c r="F4" s="1037">
        <v>0.5</v>
      </c>
      <c r="G4" s="1038">
        <f ca="1">INDIRECT("p"&amp;$L$1)</f>
        <v>1.3</v>
      </c>
      <c r="H4" s="1038">
        <f ca="1">INDIRECT("p"&amp;$L$2)</f>
        <v>2.0699999999999998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5.58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5.76</v>
      </c>
      <c r="F6" s="1007">
        <v>2</v>
      </c>
      <c r="G6" s="1039">
        <f ca="1">INDIRECT("r"&amp;$L$1)</f>
        <v>2.1</v>
      </c>
      <c r="H6" s="1039">
        <f ca="1">INDIRECT("r"&amp;$L$2)</f>
        <v>2.7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5.85</v>
      </c>
      <c r="F7" s="1007">
        <v>3</v>
      </c>
      <c r="G7" s="1039">
        <f ca="1">INDIRECT("s"&amp;$L$1)</f>
        <v>2.75</v>
      </c>
      <c r="H7" s="1039">
        <f ca="1">INDIRECT("s"&amp;$L$2)</f>
        <v>3.24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6.12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79" t="s">
        <v>1657</v>
      </c>
      <c r="H2" s="1879"/>
      <c r="I2" s="1879"/>
      <c r="J2" s="1879"/>
      <c r="K2" s="1879"/>
      <c r="L2" s="1879"/>
      <c r="N2" s="1874" t="s">
        <v>1658</v>
      </c>
      <c r="O2" s="1874"/>
      <c r="P2" s="1874"/>
      <c r="Q2" s="1874"/>
      <c r="R2" s="1690"/>
      <c r="S2" s="1874" t="s">
        <v>1659</v>
      </c>
      <c r="T2" s="1874"/>
      <c r="U2" s="1874"/>
      <c r="V2" s="1874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6" customFormat="1" ht="14.25">
      <c r="A4" s="1747" t="s">
        <v>1765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1766</v>
      </c>
      <c r="Y6" s="1745"/>
      <c r="Z6" s="1745"/>
      <c r="AA6" s="1745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2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2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3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1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2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2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3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1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2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2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3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1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2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2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3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1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2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2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3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1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2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2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3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1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2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2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3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1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2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2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3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1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2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2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3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1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2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2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3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1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2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2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3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1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2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2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3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1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2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2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3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1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2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2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3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  <mergeCell ref="G63:G66"/>
    <mergeCell ref="G67:G70"/>
    <mergeCell ref="G39:G42"/>
    <mergeCell ref="G43:G46"/>
    <mergeCell ref="G47:G50"/>
    <mergeCell ref="G51:G54"/>
    <mergeCell ref="G55:G58"/>
    <mergeCell ref="G59:G6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36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12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9"/>
  <sheetViews>
    <sheetView workbookViewId="0">
      <selection activeCell="E12" sqref="E12"/>
    </sheetView>
  </sheetViews>
  <sheetFormatPr defaultRowHeight="13.5"/>
  <sheetData>
    <row r="6" spans="4:5">
      <c r="E6">
        <v>34.450000000000003</v>
      </c>
    </row>
    <row r="7" spans="4:5">
      <c r="D7">
        <v>253.68</v>
      </c>
      <c r="E7">
        <f>ROUND(D7/D9*E6,2)</f>
        <v>29.88</v>
      </c>
    </row>
    <row r="8" spans="4:5">
      <c r="D8">
        <v>38.82</v>
      </c>
      <c r="E8">
        <f>ROUND(D8/D9*E6,2)</f>
        <v>4.57</v>
      </c>
    </row>
    <row r="9" spans="4:5">
      <c r="D9">
        <f>SUM(D7:D8)</f>
        <v>292.5</v>
      </c>
    </row>
  </sheetData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38.82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4.57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43084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19.154800000000002</v>
      </c>
      <c r="C11" s="1695">
        <f ca="1">结果表!B18</f>
        <v>4934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38.82</v>
      </c>
      <c r="C14" s="1702">
        <f>主表!B6</f>
        <v>4.57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1" t="s">
        <v>1368</v>
      </c>
      <c r="B2" s="1751"/>
      <c r="C2" s="1751"/>
      <c r="D2" s="1751"/>
      <c r="E2" s="1751"/>
      <c r="F2" s="1751"/>
      <c r="G2" s="1751"/>
      <c r="H2" s="665"/>
      <c r="I2" s="227"/>
      <c r="X2" s="221"/>
      <c r="AG2" s="189"/>
    </row>
    <row r="3" spans="1:33" ht="13.5">
      <c r="A3" s="1752" t="s">
        <v>1369</v>
      </c>
      <c r="B3" s="1753"/>
      <c r="C3" s="1754"/>
      <c r="D3" s="1755" t="s">
        <v>1370</v>
      </c>
      <c r="E3" s="1753"/>
      <c r="F3" s="1753"/>
      <c r="G3" s="1756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57" t="s">
        <v>1371</v>
      </c>
      <c r="E4" s="1758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59" t="s">
        <v>1375</v>
      </c>
      <c r="B5" s="1760">
        <f>主表!F5</f>
        <v>453</v>
      </c>
      <c r="C5" s="1761" t="s">
        <v>1376</v>
      </c>
      <c r="D5" s="1758" t="s">
        <v>1377</v>
      </c>
      <c r="E5" s="1762"/>
      <c r="F5" s="1336">
        <f>SUM(F6:F10)</f>
        <v>3981</v>
      </c>
      <c r="G5" s="1337" t="s">
        <v>1654</v>
      </c>
      <c r="H5" s="665"/>
      <c r="I5" s="227"/>
      <c r="X5" s="221"/>
      <c r="AG5" s="189"/>
    </row>
    <row r="6" spans="1:33" ht="27">
      <c r="A6" s="1759"/>
      <c r="B6" s="1760"/>
      <c r="C6" s="1761"/>
      <c r="D6" s="1763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59"/>
      <c r="B7" s="1760"/>
      <c r="C7" s="1761"/>
      <c r="D7" s="1763"/>
      <c r="E7" s="1336" t="s">
        <v>1380</v>
      </c>
      <c r="F7" s="1336">
        <f>主表!F15</f>
        <v>800</v>
      </c>
      <c r="G7" s="1337"/>
      <c r="H7" s="665"/>
      <c r="I7" s="227"/>
      <c r="X7" s="221"/>
      <c r="AG7" s="189"/>
    </row>
    <row r="8" spans="1:33" ht="13.5">
      <c r="A8" s="1759"/>
      <c r="B8" s="1760"/>
      <c r="C8" s="1761"/>
      <c r="D8" s="1764" t="s">
        <v>1399</v>
      </c>
      <c r="E8" s="1765"/>
      <c r="F8" s="1336">
        <f>主表!F16</f>
        <v>187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59"/>
      <c r="B9" s="1760"/>
      <c r="C9" s="1761"/>
      <c r="D9" s="1764" t="s">
        <v>1400</v>
      </c>
      <c r="E9" s="1765"/>
      <c r="F9" s="1336">
        <f>主表!F18</f>
        <v>373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59"/>
      <c r="B10" s="1760"/>
      <c r="C10" s="1761"/>
      <c r="D10" s="1764" t="s">
        <v>1401</v>
      </c>
      <c r="E10" s="1765"/>
      <c r="F10" s="1336">
        <f>主表!F19</f>
        <v>311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9</v>
      </c>
      <c r="C11" s="1338" t="str">
        <f>"按前期开发成本的"&amp;TEXT(主表!G8,"0.0%")&amp;"计取"</f>
        <v>按前期开发成本的2.0%计取</v>
      </c>
      <c r="D11" s="1758" t="s">
        <v>1382</v>
      </c>
      <c r="E11" s="1762"/>
      <c r="F11" s="1336">
        <f>主表!F20</f>
        <v>80</v>
      </c>
      <c r="G11" s="1337" t="str">
        <f>"按房屋建设成本的"&amp;主表!G20&amp;"计取"</f>
        <v>按房屋建设成本的0.02计取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54</v>
      </c>
      <c r="C12" s="1339" t="str">
        <f ca="1">"前期开发期为"&amp;主表!B24&amp;"年，贷款利率为"&amp;TEXT(主表!G9,"0.00%")&amp;"，"&amp;主表!H9</f>
        <v>前期开发期为2年，贷款利率为5.76%，计息期为2年，复利计息</v>
      </c>
      <c r="D12" s="1758" t="s">
        <v>1384</v>
      </c>
      <c r="E12" s="1762"/>
      <c r="F12" s="1336">
        <f ca="1">主表!F21</f>
        <v>193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185</v>
      </c>
      <c r="C13" s="1339" t="str">
        <f>"按前期开发成本及其管理费用的"&amp;TEXT(主表!G10,"0%")&amp;"计取"</f>
        <v>按前期开发成本及其管理费用的40%计取</v>
      </c>
      <c r="D13" s="1758" t="s">
        <v>1385</v>
      </c>
      <c r="E13" s="1762"/>
      <c r="F13" s="1336">
        <f>主表!F22</f>
        <v>1624</v>
      </c>
      <c r="G13" s="1337" t="str">
        <f>"按房屋建设成本及其管理费用的"&amp;TEXT(主表!G22,"0%")&amp;"计取"</f>
        <v>按房屋建设成本及其管理费用的40%计取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701</v>
      </c>
      <c r="C14" s="1339" t="s">
        <v>1387</v>
      </c>
      <c r="D14" s="1758" t="s">
        <v>1386</v>
      </c>
      <c r="E14" s="1762"/>
      <c r="F14" s="1336">
        <f ca="1">F5+F11+F12+F13</f>
        <v>5878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0">
        <f ca="1">主表!F24</f>
        <v>6579</v>
      </c>
      <c r="C15" s="1766"/>
      <c r="D15" s="1764" t="s">
        <v>1389</v>
      </c>
      <c r="E15" s="1765"/>
      <c r="F15" s="1765"/>
      <c r="G15" s="1767"/>
      <c r="H15" s="665"/>
      <c r="I15" s="227"/>
      <c r="X15" s="221"/>
      <c r="AG15" s="189"/>
    </row>
    <row r="16" spans="1:33" ht="27.75" thickBot="1">
      <c r="A16" s="1332" t="s">
        <v>1390</v>
      </c>
      <c r="B16" s="1760">
        <f ca="1">主表!F25</f>
        <v>25.5397</v>
      </c>
      <c r="C16" s="1766"/>
      <c r="D16" s="1764" t="s">
        <v>1391</v>
      </c>
      <c r="E16" s="1765"/>
      <c r="F16" s="1765"/>
      <c r="G16" s="1767"/>
      <c r="H16" s="1341" t="str">
        <f ca="1">NUMBERSTRING(INT(B16*10000),2)&amp;"元整"</f>
        <v>贰拾伍万伍仟叁佰玖拾柒元整</v>
      </c>
      <c r="I16" s="1342"/>
      <c r="X16" s="221"/>
      <c r="AG16" s="189"/>
    </row>
    <row r="17" spans="1:33" ht="13.5">
      <c r="A17" s="1332" t="s">
        <v>1392</v>
      </c>
      <c r="B17" s="1773">
        <f>主表!F33</f>
        <v>0.75</v>
      </c>
      <c r="C17" s="1766"/>
      <c r="D17" s="1764" t="s">
        <v>1393</v>
      </c>
      <c r="E17" s="1765"/>
      <c r="F17" s="1765"/>
      <c r="G17" s="1767"/>
      <c r="H17" s="665"/>
      <c r="I17" s="227"/>
      <c r="X17" s="221"/>
      <c r="AG17" s="189"/>
    </row>
    <row r="18" spans="1:33" ht="27.75" thickBot="1">
      <c r="A18" s="1332" t="s">
        <v>1394</v>
      </c>
      <c r="B18" s="1760">
        <f ca="1">主表!F35</f>
        <v>4934</v>
      </c>
      <c r="C18" s="1766"/>
      <c r="D18" s="1764" t="s">
        <v>1395</v>
      </c>
      <c r="E18" s="1765"/>
      <c r="F18" s="1765"/>
      <c r="G18" s="1767"/>
      <c r="H18" s="663"/>
      <c r="I18" s="227"/>
      <c r="X18" s="221"/>
      <c r="AG18" s="189"/>
    </row>
    <row r="19" spans="1:33" ht="27.75" thickBot="1">
      <c r="A19" s="1340" t="s">
        <v>1396</v>
      </c>
      <c r="B19" s="1768">
        <f ca="1">主表!F36</f>
        <v>19.154800000000002</v>
      </c>
      <c r="C19" s="1769"/>
      <c r="D19" s="1770" t="s">
        <v>1397</v>
      </c>
      <c r="E19" s="1771"/>
      <c r="F19" s="1771"/>
      <c r="G19" s="1772"/>
      <c r="H19" s="1341" t="str">
        <f ca="1">NUMBERSTRING(INT(B19*10000),2)&amp;"元整"</f>
        <v>壹拾玖万壹仟伍佰肆拾捌元整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22" zoomScale="90" zoomScaleNormal="90" workbookViewId="0">
      <selection activeCell="G9" sqref="G9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79" t="s">
        <v>1288</v>
      </c>
      <c r="E2" s="1780"/>
      <c r="F2" s="1780"/>
      <c r="G2" s="1780"/>
      <c r="H2" s="1781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43084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18</v>
      </c>
    </row>
    <row r="4" spans="1:18" ht="15.75" customHeight="1">
      <c r="A4" s="1200" t="s">
        <v>1546</v>
      </c>
      <c r="B4" s="518">
        <v>38317</v>
      </c>
      <c r="C4" s="1198"/>
      <c r="D4" s="1206" t="s">
        <v>1289</v>
      </c>
      <c r="E4" s="1207" t="s">
        <v>1585</v>
      </c>
      <c r="F4" s="1208">
        <f ca="1">F5+F8+F9+F10</f>
        <v>701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453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f>Sheet1!E8</f>
        <v>4.57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1133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f>Sheet1!D8</f>
        <v>38.82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680</v>
      </c>
      <c r="G7" s="1224"/>
      <c r="H7" s="1386" t="s">
        <v>1768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8.49</v>
      </c>
      <c r="C8" s="1198"/>
      <c r="D8" s="1227">
        <v>2</v>
      </c>
      <c r="E8" s="1228" t="s">
        <v>1237</v>
      </c>
      <c r="F8" s="1229">
        <f>ROUND(F5*G8,0)</f>
        <v>9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/>
      <c r="C9" s="1198"/>
      <c r="D9" s="1227">
        <v>3</v>
      </c>
      <c r="E9" s="1228" t="s">
        <v>1238</v>
      </c>
      <c r="F9" s="1229">
        <f ca="1">ROUND(F5*(POWER((1+G9),B24)-1)+F8*(POWER((1+G9),B24/2)-1),0)</f>
        <v>54</v>
      </c>
      <c r="G9" s="1231">
        <f ca="1">存贷款利率!G2</f>
        <v>5.7599999999999998E-2</v>
      </c>
      <c r="H9" s="1232" t="str">
        <f>"计息期为"&amp;B24&amp;"年，"&amp;IF(B24&lt;=1,"单利计息","复利计息")</f>
        <v>计息期为2年，复利计息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185</v>
      </c>
      <c r="G10" s="521">
        <v>0.4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5878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1588</v>
      </c>
      <c r="F12" s="1229">
        <f>F13+F16+F17</f>
        <v>3981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50</v>
      </c>
      <c r="C13" s="1198"/>
      <c r="D13" s="1219" t="s">
        <v>1281</v>
      </c>
      <c r="E13" s="1228" t="s">
        <v>1243</v>
      </c>
      <c r="F13" s="1229">
        <f>F14+F15</f>
        <v>3110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52358</v>
      </c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38.46</v>
      </c>
      <c r="C15" s="1198"/>
      <c r="D15" s="1227" t="s">
        <v>1285</v>
      </c>
      <c r="E15" s="1228" t="s">
        <v>1245</v>
      </c>
      <c r="F15" s="522">
        <v>800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187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684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0.90600000000000003</v>
      </c>
      <c r="C18" s="1198"/>
      <c r="D18" s="1227" t="s">
        <v>1286</v>
      </c>
      <c r="E18" s="1228" t="s">
        <v>1296</v>
      </c>
      <c r="F18" s="1053">
        <f>ROUND(IF(B12="住宅/居住",F13*G18,0),0)</f>
        <v>373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311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1769</v>
      </c>
      <c r="C20" s="1198"/>
      <c r="D20" s="1227">
        <v>2</v>
      </c>
      <c r="E20" s="1228" t="s">
        <v>1237</v>
      </c>
      <c r="F20" s="1229">
        <f>ROUND(F12*G20,0)</f>
        <v>80</v>
      </c>
      <c r="G20" s="664">
        <f>G8</f>
        <v>0.02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193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1999</v>
      </c>
      <c r="C22" s="1198"/>
      <c r="D22" s="1236">
        <v>4</v>
      </c>
      <c r="E22" s="1237" t="s">
        <v>1590</v>
      </c>
      <c r="F22" s="1238">
        <f>ROUND((F12+F20)*G22,0)</f>
        <v>1624</v>
      </c>
      <c r="G22" s="521">
        <f>G10</f>
        <v>0.4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2</v>
      </c>
      <c r="C24" s="1250"/>
      <c r="D24" s="1214">
        <v>1</v>
      </c>
      <c r="E24" s="1215" t="s">
        <v>1255</v>
      </c>
      <c r="F24" s="1053">
        <f ca="1">F4+F11</f>
        <v>6579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25.5397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1290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4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0.75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1293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4934</v>
      </c>
      <c r="G35" s="1775" t="s">
        <v>1267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19.154800000000002</v>
      </c>
      <c r="G36" s="1777" t="s">
        <v>1269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38.82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8.49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89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0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0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0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0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89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1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1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2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89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0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7.0000000000000007E-2</v>
      </c>
      <c r="N17" s="625">
        <f ca="1">ROUND($E$20*(1+N16),3)</f>
        <v>6.7000000000000004E-2</v>
      </c>
      <c r="O17" s="625">
        <f ca="1">ROUND($E$20*(1+O16),3)</f>
        <v>6.4000000000000001E-2</v>
      </c>
      <c r="P17" s="965">
        <f ca="1">ROUND($E$20*(1+P16),3)</f>
        <v>6.0999999999999999E-2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423</v>
      </c>
      <c r="G19" s="1508" t="s">
        <v>266</v>
      </c>
      <c r="H19" s="1349">
        <f>主表!B4</f>
        <v>38317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0.92</v>
      </c>
      <c r="D20" s="1509" t="s">
        <v>939</v>
      </c>
      <c r="E20" s="1510">
        <f ca="1">INDIRECT("'存贷款利率'!e"&amp;存贷款利率!$K$4)/100</f>
        <v>5.5800000000000002E-2</v>
      </c>
      <c r="F20" s="1507" t="s">
        <v>940</v>
      </c>
      <c r="G20" s="1511">
        <f ca="1">SUMIF(M15:P15,E2,M17:P17)</f>
        <v>6.4000000000000001E-2</v>
      </c>
      <c r="H20" s="1512" t="s">
        <v>1653</v>
      </c>
      <c r="I20" s="1054">
        <f>IF(H20="剩余土地使用年限",主表!B15,主表!B16)</f>
        <v>38.46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0.80689999999999995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0.80689999999999995</v>
      </c>
      <c r="E22" s="1519">
        <f>ROUNDDOWN(G3,1)</f>
        <v>8.4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0.80759999999999998</v>
      </c>
      <c r="G22" s="1518">
        <f>ROUNDUP(G3,1)</f>
        <v>8.5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0.80679999999999996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4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5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5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2"/>
      <c r="L91" s="672"/>
      <c r="M91" s="672"/>
      <c r="N91" s="672"/>
    </row>
    <row r="92" spans="1:37">
      <c r="A92" s="1798" t="s">
        <v>1168</v>
      </c>
      <c r="B92" s="1798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8"/>
      <c r="B93" s="1798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99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0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0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0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0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0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0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1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9" t="s">
        <v>1495</v>
      </c>
      <c r="B102" s="973" t="s">
        <v>1498</v>
      </c>
      <c r="C102" s="974">
        <f>$G$3</f>
        <v>8.49</v>
      </c>
      <c r="D102" s="974">
        <f t="shared" ref="D102:N102" si="25">$G$3</f>
        <v>8.49</v>
      </c>
      <c r="E102" s="974">
        <f t="shared" si="25"/>
        <v>8.49</v>
      </c>
      <c r="F102" s="974">
        <f t="shared" si="25"/>
        <v>8.49</v>
      </c>
      <c r="G102" s="974">
        <f t="shared" si="25"/>
        <v>8.49</v>
      </c>
      <c r="H102" s="974">
        <f t="shared" si="25"/>
        <v>8.49</v>
      </c>
      <c r="I102" s="974">
        <f t="shared" si="25"/>
        <v>8.49</v>
      </c>
      <c r="J102" s="974">
        <f t="shared" si="25"/>
        <v>8.49</v>
      </c>
      <c r="K102" s="974">
        <f t="shared" si="25"/>
        <v>8.49</v>
      </c>
      <c r="L102" s="974">
        <f t="shared" si="25"/>
        <v>8.49</v>
      </c>
      <c r="M102" s="974">
        <f t="shared" si="25"/>
        <v>8.49</v>
      </c>
      <c r="N102" s="974">
        <f t="shared" si="25"/>
        <v>8.49</v>
      </c>
    </row>
    <row r="103" spans="1:14" ht="12.75">
      <c r="A103" s="1800"/>
      <c r="B103" s="969">
        <v>1</v>
      </c>
      <c r="C103" s="970">
        <f>1.9362/C102</f>
        <v>0.22805653710247348</v>
      </c>
      <c r="D103" s="970">
        <f>1.9362/D102</f>
        <v>0.22805653710247348</v>
      </c>
      <c r="E103" s="970">
        <f>1.8629/E102</f>
        <v>0.21942285041224971</v>
      </c>
      <c r="F103" s="970">
        <f>1.8629/F102</f>
        <v>0.21942285041224971</v>
      </c>
      <c r="G103" s="970">
        <f>1.8629/G102</f>
        <v>0.21942285041224971</v>
      </c>
      <c r="H103" s="970">
        <f>1.8629/H102</f>
        <v>0.21942285041224971</v>
      </c>
      <c r="I103" s="970">
        <f>1.8629/I102</f>
        <v>0.21942285041224971</v>
      </c>
      <c r="J103" s="970">
        <f>1.942/J102</f>
        <v>0.22873969375736158</v>
      </c>
      <c r="K103" s="970">
        <f>1.942/K102</f>
        <v>0.22873969375736158</v>
      </c>
      <c r="L103" s="970">
        <f>1.942/L102</f>
        <v>0.22873969375736158</v>
      </c>
      <c r="M103" s="970">
        <f>1.942/M102</f>
        <v>0.22873969375736158</v>
      </c>
      <c r="N103" s="970">
        <f>1.942/N102</f>
        <v>0.22873969375736158</v>
      </c>
    </row>
    <row r="104" spans="1:14" ht="12.75">
      <c r="A104" s="1800"/>
      <c r="B104" s="969">
        <v>2</v>
      </c>
      <c r="C104" s="970">
        <f>1.4198/C102</f>
        <v>0.16723203769140163</v>
      </c>
      <c r="D104" s="970">
        <f>1.4198/D102</f>
        <v>0.16723203769140163</v>
      </c>
      <c r="E104" s="970">
        <f>1.3372/E102</f>
        <v>0.15750294464075382</v>
      </c>
      <c r="F104" s="970">
        <f>1.3372/F102</f>
        <v>0.15750294464075382</v>
      </c>
      <c r="G104" s="970">
        <f>1.3372/G102</f>
        <v>0.15750294464075382</v>
      </c>
      <c r="H104" s="970">
        <f>1.3372/H102</f>
        <v>0.15750294464075382</v>
      </c>
      <c r="I104" s="970">
        <f>1.3372/I102</f>
        <v>0.15750294464075382</v>
      </c>
      <c r="J104" s="970">
        <f>1.2799/J102</f>
        <v>0.15075382803297999</v>
      </c>
      <c r="K104" s="970">
        <f>1.2799/K102</f>
        <v>0.15075382803297999</v>
      </c>
      <c r="L104" s="970">
        <f>1.2799/L102</f>
        <v>0.15075382803297999</v>
      </c>
      <c r="M104" s="970">
        <f>1.2799/M102</f>
        <v>0.15075382803297999</v>
      </c>
      <c r="N104" s="970">
        <f>1.2799/N102</f>
        <v>0.15075382803297999</v>
      </c>
    </row>
    <row r="105" spans="1:14" ht="12.75">
      <c r="A105" s="1800"/>
      <c r="B105" s="969">
        <v>3</v>
      </c>
      <c r="C105" s="970">
        <f>1.1594/C102</f>
        <v>0.13656065959952884</v>
      </c>
      <c r="D105" s="970">
        <f>1.1594/D102</f>
        <v>0.13656065959952884</v>
      </c>
      <c r="E105" s="970">
        <f>1.0788/E102</f>
        <v>0.12706713780918727</v>
      </c>
      <c r="F105" s="970">
        <f>1.0788/F102</f>
        <v>0.12706713780918727</v>
      </c>
      <c r="G105" s="970">
        <f>1.0788/G102</f>
        <v>0.12706713780918727</v>
      </c>
      <c r="H105" s="970">
        <f>1.0788/H102</f>
        <v>0.12706713780918727</v>
      </c>
      <c r="I105" s="970">
        <f>1.0788/I102</f>
        <v>0.12706713780918727</v>
      </c>
      <c r="J105" s="970">
        <f>1.0072/J102</f>
        <v>0.1186336866902238</v>
      </c>
      <c r="K105" s="970">
        <f>1.0072/K102</f>
        <v>0.1186336866902238</v>
      </c>
      <c r="L105" s="970">
        <f>1.0072/L102</f>
        <v>0.1186336866902238</v>
      </c>
      <c r="M105" s="970">
        <f>1.0072/M102</f>
        <v>0.1186336866902238</v>
      </c>
      <c r="N105" s="970">
        <f>1.0072/N102</f>
        <v>0.1186336866902238</v>
      </c>
    </row>
    <row r="106" spans="1:14" ht="12.75">
      <c r="A106" s="1800"/>
      <c r="B106" s="969">
        <v>4</v>
      </c>
      <c r="C106" s="970">
        <f>0.9622/C102</f>
        <v>0.11333333333333334</v>
      </c>
      <c r="D106" s="970">
        <f>0.9622/D102</f>
        <v>0.11333333333333334</v>
      </c>
      <c r="E106" s="970">
        <f>0.8656/E102</f>
        <v>0.10195524146054182</v>
      </c>
      <c r="F106" s="970">
        <f>0.8656/F102</f>
        <v>0.10195524146054182</v>
      </c>
      <c r="G106" s="970">
        <f>0.8656/G102</f>
        <v>0.10195524146054182</v>
      </c>
      <c r="H106" s="970">
        <f>0.8656/H102</f>
        <v>0.10195524146054182</v>
      </c>
      <c r="I106" s="970">
        <f>0.8656/I102</f>
        <v>0.10195524146054182</v>
      </c>
      <c r="J106" s="970">
        <f>0.7525/J102</f>
        <v>8.8633686690223784E-2</v>
      </c>
      <c r="K106" s="970">
        <f>0.7525/K102</f>
        <v>8.8633686690223784E-2</v>
      </c>
      <c r="L106" s="970">
        <f>0.7525/L102</f>
        <v>8.8633686690223784E-2</v>
      </c>
      <c r="M106" s="970">
        <f>0.7525/M102</f>
        <v>8.8633686690223784E-2</v>
      </c>
      <c r="N106" s="970">
        <f>0.7525/N102</f>
        <v>8.8633686690223784E-2</v>
      </c>
    </row>
    <row r="107" spans="1:14" ht="12.75">
      <c r="A107" s="1800"/>
      <c r="B107" s="969">
        <v>5</v>
      </c>
      <c r="C107" s="970">
        <f>0.8417/C102</f>
        <v>9.9140164899882213E-2</v>
      </c>
      <c r="D107" s="970">
        <f>0.8417/D102</f>
        <v>9.9140164899882213E-2</v>
      </c>
      <c r="E107" s="970">
        <f>0.7371/E102</f>
        <v>8.6819787985865718E-2</v>
      </c>
      <c r="F107" s="970">
        <f>0.7371/F102</f>
        <v>8.6819787985865718E-2</v>
      </c>
      <c r="G107" s="970">
        <f>0.7371/G102</f>
        <v>8.6819787985865718E-2</v>
      </c>
      <c r="H107" s="970">
        <f>0.7371/H102</f>
        <v>8.6819787985865718E-2</v>
      </c>
      <c r="I107" s="970">
        <f>0.7371/I102</f>
        <v>8.6819787985865718E-2</v>
      </c>
      <c r="J107" s="970">
        <f>0.5659/J102</f>
        <v>6.6654888103651347E-2</v>
      </c>
      <c r="K107" s="970">
        <f>0.5659/K102</f>
        <v>6.6654888103651347E-2</v>
      </c>
      <c r="L107" s="970">
        <f>0.5659/L102</f>
        <v>6.6654888103651347E-2</v>
      </c>
      <c r="M107" s="970">
        <f>0.5659/M102</f>
        <v>6.6654888103651347E-2</v>
      </c>
      <c r="N107" s="970">
        <f>0.5659/N102</f>
        <v>6.6654888103651347E-2</v>
      </c>
    </row>
    <row r="108" spans="1:14" ht="12.75">
      <c r="A108" s="1800"/>
      <c r="B108" s="969">
        <v>6</v>
      </c>
      <c r="C108" s="970">
        <f>0.7608/C102</f>
        <v>8.9611307420494696E-2</v>
      </c>
      <c r="D108" s="970">
        <f>0.7608/D102</f>
        <v>8.9611307420494696E-2</v>
      </c>
      <c r="E108" s="970">
        <f>0.6482/E102</f>
        <v>7.6348645465253231E-2</v>
      </c>
      <c r="F108" s="970">
        <f>0.6482/F102</f>
        <v>7.6348645465253231E-2</v>
      </c>
      <c r="G108" s="970">
        <f>0.6482/G102</f>
        <v>7.6348645465253231E-2</v>
      </c>
      <c r="H108" s="970">
        <f>0.6482/H102</f>
        <v>7.6348645465253231E-2</v>
      </c>
      <c r="I108" s="970">
        <f>0.6482/I102</f>
        <v>7.6348645465253231E-2</v>
      </c>
      <c r="J108" s="970">
        <f>0.4525/J102</f>
        <v>5.3297997644287394E-2</v>
      </c>
      <c r="K108" s="970">
        <f>0.4525/K102</f>
        <v>5.3297997644287394E-2</v>
      </c>
      <c r="L108" s="970">
        <f>0.4525/L102</f>
        <v>5.3297997644287394E-2</v>
      </c>
      <c r="M108" s="970">
        <f>0.4525/M102</f>
        <v>5.3297997644287394E-2</v>
      </c>
      <c r="N108" s="970">
        <f>0.4525/N102</f>
        <v>5.3297997644287394E-2</v>
      </c>
    </row>
    <row r="109" spans="1:14" ht="12.75">
      <c r="A109" s="1800"/>
      <c r="B109" s="1802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1"/>
      <c r="B110" s="1803"/>
      <c r="C110" s="972">
        <f>(-0.163*(C109^2)-0.59*C109+7617)*(10^(-4))/C102</f>
        <v>8.970844522968198E-2</v>
      </c>
      <c r="D110" s="972">
        <f>(-0.163*(D109^2)-0.59*D109+7617)*(10^(-4))/D102</f>
        <v>8.970844522968198E-2</v>
      </c>
      <c r="E110" s="972">
        <f>(-0.161*(E109^2)-7.509*E109+6533)*(10^(-4))/E102</f>
        <v>7.6859010600706712E-2</v>
      </c>
      <c r="F110" s="972">
        <f>(-0.161*(F109^2)-7.509*F109+6533)*(10^(-4))/F102</f>
        <v>7.6859010600706712E-2</v>
      </c>
      <c r="G110" s="972">
        <f>(-0.161*(G109^2)-7.509*G109+6533)*(10^(-4))/G102</f>
        <v>7.6859010600706712E-2</v>
      </c>
      <c r="H110" s="972">
        <f>(-0.161*(H109^2)-7.509*H109+6533)*(10^(-4))/H102</f>
        <v>7.6859010600706712E-2</v>
      </c>
      <c r="I110" s="972">
        <f>(-0.161*(I109^2)-7.509*I109+6533)*(10^(-4))/I102</f>
        <v>7.6859010600706712E-2</v>
      </c>
      <c r="J110" s="972">
        <f>(-0.214*(J109^2)-21.991*J109+4665)*(10^(-4))/J102</f>
        <v>5.4685453474676092E-2</v>
      </c>
      <c r="K110" s="972">
        <f>(-0.214*(K109^2)-21.991*K109+4665)*(10^(-4))/K102</f>
        <v>5.4685453474676092E-2</v>
      </c>
      <c r="L110" s="972">
        <f>(-0.214*(L109^2)-21.991*L109+4665)*(10^(-4))/L102</f>
        <v>5.4685453474676092E-2</v>
      </c>
      <c r="M110" s="972">
        <f>(-0.214*(M109^2)-21.991*M109+4665)*(10^(-4))/M102</f>
        <v>5.4685453474676092E-2</v>
      </c>
      <c r="N110" s="972">
        <f>(-0.214*(N109^2)-21.991*N109+4665)*(10^(-4))/N102</f>
        <v>5.4685453474676092E-2</v>
      </c>
    </row>
    <row r="111" spans="1:14">
      <c r="A111" s="1797" t="s">
        <v>1183</v>
      </c>
      <c r="B111" s="1797"/>
      <c r="C111" s="1797"/>
      <c r="D111" s="1797"/>
      <c r="E111" s="1797"/>
      <c r="F111" s="1797"/>
      <c r="G111" s="1797"/>
      <c r="H111" s="1797"/>
      <c r="I111" s="1797"/>
      <c r="J111" s="1797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8.49</v>
      </c>
      <c r="C114" s="955" t="s">
        <v>1482</v>
      </c>
      <c r="D114" s="351">
        <f>SUMPRODUCT((A116:A119=F114)*(B115:M115=H114)*B116:M119)</f>
        <v>0.80689999999999995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0.85370000000000001</v>
      </c>
      <c r="C116" s="355">
        <f>B116</f>
        <v>0.85370000000000001</v>
      </c>
      <c r="D116" s="355">
        <f>ROUND(0.8331-0.0109*B114,4)</f>
        <v>0.74060000000000004</v>
      </c>
      <c r="E116" s="355">
        <f>D116</f>
        <v>0.74060000000000004</v>
      </c>
      <c r="F116" s="355">
        <f>E116</f>
        <v>0.74060000000000004</v>
      </c>
      <c r="G116" s="355">
        <f>F116</f>
        <v>0.74060000000000004</v>
      </c>
      <c r="H116" s="355">
        <f>G116</f>
        <v>0.74060000000000004</v>
      </c>
      <c r="I116" s="355">
        <f>ROUND(0.689-0.0155*B114,4)</f>
        <v>0.55740000000000001</v>
      </c>
      <c r="J116" s="355">
        <f t="shared" ref="J116:M119" si="27">I116</f>
        <v>0.55740000000000001</v>
      </c>
      <c r="K116" s="355">
        <f t="shared" si="27"/>
        <v>0.55740000000000001</v>
      </c>
      <c r="L116" s="355">
        <f t="shared" si="27"/>
        <v>0.55740000000000001</v>
      </c>
      <c r="M116" s="356">
        <f t="shared" si="27"/>
        <v>0.55740000000000001</v>
      </c>
    </row>
    <row r="117" spans="1:13" ht="12.75">
      <c r="A117" s="817" t="s">
        <v>1317</v>
      </c>
      <c r="B117" s="355">
        <f>ROUND(0.949-0.012*B114,4)</f>
        <v>0.84709999999999996</v>
      </c>
      <c r="C117" s="355">
        <f>B117</f>
        <v>0.84709999999999996</v>
      </c>
      <c r="D117" s="355">
        <f>ROUND(0.8567-0.013*B114,4)</f>
        <v>0.74629999999999996</v>
      </c>
      <c r="E117" s="355">
        <f t="shared" ref="E117:H118" si="28">D117</f>
        <v>0.74629999999999996</v>
      </c>
      <c r="F117" s="355">
        <f t="shared" si="28"/>
        <v>0.74629999999999996</v>
      </c>
      <c r="G117" s="355">
        <f t="shared" si="28"/>
        <v>0.74629999999999996</v>
      </c>
      <c r="H117" s="355">
        <f t="shared" si="28"/>
        <v>0.74629999999999996</v>
      </c>
      <c r="I117" s="355">
        <f>ROUND(0.7694-0.014*B114,4)</f>
        <v>0.65049999999999997</v>
      </c>
      <c r="J117" s="355">
        <f t="shared" si="27"/>
        <v>0.65049999999999997</v>
      </c>
      <c r="K117" s="355">
        <f t="shared" si="27"/>
        <v>0.65049999999999997</v>
      </c>
      <c r="L117" s="355">
        <f t="shared" si="27"/>
        <v>0.65049999999999997</v>
      </c>
      <c r="M117" s="356">
        <f t="shared" si="27"/>
        <v>0.65049999999999997</v>
      </c>
    </row>
    <row r="118" spans="1:13" ht="12.75">
      <c r="A118" s="817" t="s">
        <v>1318</v>
      </c>
      <c r="B118" s="355">
        <f>ROUND(0.8808-0.006*B114,4)</f>
        <v>0.82989999999999997</v>
      </c>
      <c r="C118" s="355">
        <f>B118</f>
        <v>0.82989999999999997</v>
      </c>
      <c r="D118" s="355">
        <f>ROUND(0.8748-0.008*B114,4)</f>
        <v>0.80689999999999995</v>
      </c>
      <c r="E118" s="355">
        <f t="shared" si="28"/>
        <v>0.80689999999999995</v>
      </c>
      <c r="F118" s="355">
        <f t="shared" si="28"/>
        <v>0.80689999999999995</v>
      </c>
      <c r="G118" s="355">
        <f t="shared" si="28"/>
        <v>0.80689999999999995</v>
      </c>
      <c r="H118" s="355">
        <f t="shared" si="28"/>
        <v>0.80689999999999995</v>
      </c>
      <c r="I118" s="355">
        <f>ROUND(0.7412-0.0095*B114,4)</f>
        <v>0.66049999999999998</v>
      </c>
      <c r="J118" s="355">
        <f t="shared" si="27"/>
        <v>0.66049999999999998</v>
      </c>
      <c r="K118" s="355">
        <f t="shared" si="27"/>
        <v>0.66049999999999998</v>
      </c>
      <c r="L118" s="355">
        <f t="shared" si="27"/>
        <v>0.66049999999999998</v>
      </c>
      <c r="M118" s="356">
        <f t="shared" si="27"/>
        <v>0.66049999999999998</v>
      </c>
    </row>
    <row r="119" spans="1:13" ht="13.5" thickBot="1">
      <c r="A119" s="818" t="s">
        <v>229</v>
      </c>
      <c r="B119" s="357">
        <f>ROUND(0.7275-0.01*B114,4)</f>
        <v>0.64259999999999995</v>
      </c>
      <c r="C119" s="357">
        <f>B119</f>
        <v>0.64259999999999995</v>
      </c>
      <c r="D119" s="357">
        <f>ROUND(0.7043-0.012*B114,4)</f>
        <v>0.60240000000000005</v>
      </c>
      <c r="E119" s="357">
        <f>D119</f>
        <v>0.60240000000000005</v>
      </c>
      <c r="F119" s="357">
        <f>E119</f>
        <v>0.60240000000000005</v>
      </c>
      <c r="G119" s="357">
        <f>ROUND(0.6299-0.0122*B114,4)</f>
        <v>0.52629999999999999</v>
      </c>
      <c r="H119" s="357">
        <f>G119</f>
        <v>0.52629999999999999</v>
      </c>
      <c r="I119" s="357">
        <f>ROUND(0.5667-0.0136*B114,4)</f>
        <v>0.45119999999999999</v>
      </c>
      <c r="J119" s="357">
        <f t="shared" si="27"/>
        <v>0.45119999999999999</v>
      </c>
      <c r="K119" s="357">
        <f t="shared" si="27"/>
        <v>0.45119999999999999</v>
      </c>
      <c r="L119" s="357">
        <f t="shared" si="27"/>
        <v>0.45119999999999999</v>
      </c>
      <c r="M119" s="358">
        <f t="shared" si="27"/>
        <v>0.45119999999999999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2018-01-29T05:08:14Z</dcterms:modified>
</cp:coreProperties>
</file>