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32北京市朝阳区安华西里一区28号楼14层1401号\"/>
    </mc:Choice>
  </mc:AlternateContent>
  <bookViews>
    <workbookView xWindow="0" yWindow="0" windowWidth="21012" windowHeight="1299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住宅" sheetId="21" r:id="rId23"/>
    <sheet name="案例" sheetId="86"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比较法-租金" sheetId="85"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r:id="rId46"/>
    <sheet name="区片价（范围）" sheetId="75" state="hidden" r:id="rId47"/>
    <sheet name="地价-分区" sheetId="79" r:id="rId48"/>
    <sheet name="地价" sheetId="71" state="hidden" r:id="rId49"/>
    <sheet name="区片价" sheetId="44" r:id="rId50"/>
    <sheet name="存贷款利率" sheetId="73" state="hidden" r:id="rId51"/>
    <sheet name="扬州水乡_e40-c05-e92" sheetId="84"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38" hidden="1">'比较法-租金'!$A$1:$L$49</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38">'比较法-租金'!$A$1:$K$54,'比较法-租金'!$A$57:$M$131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8">'比较法-租金'!$B$88:$M$88</definedName>
    <definedName name="住宅朝向">'比较法-住宅'!$B$88:$M$88</definedName>
    <definedName name="住宅房型" localSheetId="38">'比较法-租金'!$B$118:$M$118</definedName>
    <definedName name="住宅房型">'比较法-住宅'!$B$118:$M$118</definedName>
    <definedName name="住宅公共部分装修" localSheetId="38">'比较法-租金'!$B$109:$M$109</definedName>
    <definedName name="住宅公共部分装修">'比较法-住宅'!$B$109:$M$109</definedName>
    <definedName name="住宅基础设施水平" localSheetId="38">'比较法-租金'!$B$116:$M$116</definedName>
    <definedName name="住宅基础设施水平">'比较法-住宅'!$B$116:$M$116</definedName>
    <definedName name="住宅建筑结构" localSheetId="38">'比较法-租金'!$B$105:$M$105</definedName>
    <definedName name="住宅建筑结构">'比较法-住宅'!$B$105:$M$105</definedName>
    <definedName name="住宅建筑类型" localSheetId="38">'比较法-租金'!$B$100:$M$100</definedName>
    <definedName name="住宅建筑类型">'比较法-住宅'!$B$100:$M$100</definedName>
    <definedName name="住宅建筑品质" localSheetId="38">'比较法-租金'!$B$107:$M$107</definedName>
    <definedName name="住宅建筑品质">'比较法-住宅'!$B$107:$M$107</definedName>
    <definedName name="住宅交易情况" localSheetId="38">'比较法-租金'!$A$61:$M$61</definedName>
    <definedName name="住宅交易情况">'比较法-住宅'!$A$61:$M$61</definedName>
    <definedName name="住宅楼层" localSheetId="38">'比较法-租金'!$B$86:$M$86</definedName>
    <definedName name="住宅楼层">'比较法-住宅'!$B$86:$M$86</definedName>
    <definedName name="住宅内部装修" localSheetId="38">'比较法-租金'!$B$122:$M$122</definedName>
    <definedName name="住宅内部装修">'比较法-住宅'!$B$122:$M$122</definedName>
    <definedName name="住宅物业管理" localSheetId="38">'比较法-租金'!$B$114:$M$114</definedName>
    <definedName name="住宅物业管理">'比较法-住宅'!$B$114:$M$114</definedName>
    <definedName name="住宅用途" localSheetId="38">'比较法-租金'!$B$63:$M$63</definedName>
    <definedName name="住宅用途">'比较法-住宅'!$B$63:$M$63</definedName>
    <definedName name="住宅主力户型面积" localSheetId="38">'比较法-租金'!$B$120:$M$120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I47" i="21"/>
  <c r="G47" i="21"/>
  <c r="E47" i="21"/>
  <c r="F90" i="21"/>
  <c r="I33" i="21"/>
  <c r="G33" i="21"/>
  <c r="E33" i="21"/>
  <c r="I7" i="21"/>
  <c r="G7" i="21"/>
  <c r="E7" i="21"/>
  <c r="I6" i="21"/>
  <c r="G6" i="21"/>
  <c r="E6" i="21"/>
  <c r="I33" i="85"/>
  <c r="G33" i="85"/>
  <c r="E33" i="85"/>
  <c r="I7" i="85"/>
  <c r="G7" i="85"/>
  <c r="E7" i="85"/>
  <c r="I5" i="85"/>
  <c r="G5" i="85"/>
  <c r="E5" i="85"/>
  <c r="O20" i="1" l="1"/>
  <c r="N22" i="1" l="1"/>
  <c r="B14" i="74"/>
  <c r="D5" i="9" l="1"/>
  <c r="I37" i="21"/>
  <c r="E37" i="21"/>
  <c r="E90" i="21"/>
  <c r="D90" i="21"/>
  <c r="C90" i="21"/>
  <c r="H59" i="21"/>
  <c r="E59" i="21"/>
  <c r="E6" i="85"/>
  <c r="Y6" i="1"/>
  <c r="D90" i="85"/>
  <c r="C90" i="85"/>
  <c r="H27" i="85" s="1"/>
  <c r="AB27" i="85" s="1"/>
  <c r="I37" i="85"/>
  <c r="C37" i="85"/>
  <c r="G37" i="85" s="1"/>
  <c r="H37" i="85" s="1"/>
  <c r="AB37" i="85" s="1"/>
  <c r="O59" i="85"/>
  <c r="N59" i="85"/>
  <c r="L59" i="85"/>
  <c r="K59" i="85"/>
  <c r="I59" i="85"/>
  <c r="H59" i="85"/>
  <c r="F59" i="85"/>
  <c r="E59" i="85"/>
  <c r="G7" i="86"/>
  <c r="G2" i="86"/>
  <c r="G3" i="86"/>
  <c r="G4" i="86"/>
  <c r="G47" i="85" s="1"/>
  <c r="G5" i="86"/>
  <c r="I47" i="85" s="1"/>
  <c r="G6" i="86"/>
  <c r="G1" i="86"/>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Q26" i="85"/>
  <c r="Z26" i="85" s="1"/>
  <c r="H26" i="85"/>
  <c r="AB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F2" i="85"/>
  <c r="F27" i="85" l="1"/>
  <c r="AA27" i="85" s="1"/>
  <c r="E47" i="85"/>
  <c r="R47" i="85" s="1"/>
  <c r="J26" i="85"/>
  <c r="AC26" i="85" s="1"/>
  <c r="F26" i="85"/>
  <c r="S26" i="85" s="1"/>
  <c r="U28" i="85"/>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S28" i="85"/>
  <c r="U29" i="85"/>
  <c r="W30" i="85"/>
  <c r="S32" i="85"/>
  <c r="W34" i="85"/>
  <c r="S36" i="85"/>
  <c r="U37" i="85"/>
  <c r="W38" i="85"/>
  <c r="S40" i="85"/>
  <c r="U41" i="85"/>
  <c r="W42" i="85"/>
  <c r="S44" i="85"/>
  <c r="U45" i="85"/>
  <c r="W46" i="85"/>
  <c r="F19" i="6"/>
  <c r="W26" i="85" l="1"/>
  <c r="AA26" i="85"/>
  <c r="D33" i="43"/>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B5" i="3" s="1"/>
  <c r="E5" i="6" s="1"/>
  <c r="D22" i="83" s="1"/>
  <c r="C22" i="8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F34" i="67"/>
  <c r="F62" i="67" s="1"/>
  <c r="M20" i="67"/>
  <c r="F19" i="15"/>
  <c r="F67" i="15" s="1"/>
  <c r="G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AB14" i="21"/>
  <c r="AB46" i="21"/>
  <c r="U40" i="21"/>
  <c r="AC15" i="21"/>
  <c r="S35" i="21"/>
  <c r="H15" i="21"/>
  <c r="U15" i="21"/>
  <c r="J17" i="21"/>
  <c r="AC19" i="21"/>
  <c r="AC14" i="21"/>
  <c r="W30" i="21"/>
  <c r="H45" i="21"/>
  <c r="U45" i="21" s="1"/>
  <c r="F29" i="21"/>
  <c r="AA29" i="21" s="1"/>
  <c r="F13" i="21"/>
  <c r="AC38" i="21"/>
  <c r="H32" i="21"/>
  <c r="U32" i="21" s="1"/>
  <c r="H9" i="21"/>
  <c r="U9" i="21" s="1"/>
  <c r="J9" i="21"/>
  <c r="AC9" i="21" s="1"/>
  <c r="J32" i="21"/>
  <c r="W32" i="21" s="1"/>
  <c r="F32" i="21"/>
  <c r="AA32" i="21" s="1"/>
  <c r="U17" i="21"/>
  <c r="S19" i="21"/>
  <c r="AA9" i="21"/>
  <c r="K141" i="21"/>
  <c r="K144" i="21"/>
  <c r="K143" i="21"/>
  <c r="AB25" i="21"/>
  <c r="AA30" i="21"/>
  <c r="W13" i="21"/>
  <c r="AC45" i="21"/>
  <c r="F10" i="21"/>
  <c r="AA10" i="21" s="1"/>
  <c r="K145" i="21"/>
  <c r="W25" i="21"/>
  <c r="AA15"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AB15" i="21"/>
  <c r="J23" i="21"/>
  <c r="AC23" i="21" s="1"/>
  <c r="H23" i="21"/>
  <c r="AP7" i="1"/>
  <c r="AB45"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8" i="15"/>
  <c r="M29" i="67"/>
  <c r="M23" i="67"/>
  <c r="F23" i="15"/>
  <c r="E8" i="76"/>
  <c r="E12" i="76"/>
  <c r="E2" i="69"/>
  <c r="B11" i="76"/>
  <c r="D35" i="9"/>
  <c r="M21" i="15"/>
  <c r="F29" i="15"/>
  <c r="F20" i="31"/>
  <c r="F7" i="15"/>
  <c r="E9" i="76"/>
  <c r="B10" i="76"/>
  <c r="M22" i="15"/>
  <c r="F34" i="15"/>
  <c r="F25" i="15"/>
  <c r="AO13" i="1"/>
  <c r="D34" i="9"/>
  <c r="E13" i="76"/>
  <c r="F27" i="15"/>
  <c r="F3" i="73"/>
  <c r="E7" i="76"/>
  <c r="E11" i="76"/>
  <c r="B7" i="76"/>
  <c r="M27" i="15"/>
  <c r="F5" i="73"/>
  <c r="F6" i="73"/>
  <c r="B12" i="76"/>
  <c r="F4" i="73"/>
  <c r="E10" i="76"/>
  <c r="L52" i="15"/>
  <c r="M32" i="15"/>
  <c r="B13" i="76"/>
  <c r="F9" i="67"/>
  <c r="F7" i="73"/>
  <c r="F9" i="15"/>
  <c r="B8" i="76"/>
  <c r="C83" i="15"/>
  <c r="F6" i="15"/>
  <c r="F8" i="15"/>
  <c r="F21" i="15"/>
  <c r="F22" i="15"/>
  <c r="M6" i="15"/>
  <c r="M25" i="15"/>
  <c r="B9" i="76"/>
  <c r="J37" i="21" l="1"/>
  <c r="W37" i="21" s="1"/>
  <c r="H37" i="21"/>
  <c r="U37" i="21" s="1"/>
  <c r="F37" i="21"/>
  <c r="AA37" i="21" s="1"/>
  <c r="S37" i="21"/>
  <c r="AB32" i="21"/>
  <c r="S32" i="21"/>
  <c r="BA13" i="3"/>
  <c r="AC27" i="21"/>
  <c r="U41" i="2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F34" i="81"/>
  <c r="F6" i="67"/>
  <c r="J15" i="67"/>
  <c r="F42" i="67"/>
  <c r="F22" i="81"/>
  <c r="D3" i="73"/>
  <c r="F40" i="67"/>
  <c r="F38" i="67"/>
  <c r="F43" i="67"/>
  <c r="F16" i="67"/>
  <c r="L47" i="67"/>
  <c r="F8" i="67"/>
  <c r="M26" i="67"/>
  <c r="M9" i="67"/>
  <c r="F26" i="67"/>
  <c r="C76" i="67"/>
  <c r="C34" i="15"/>
  <c r="D5" i="73"/>
  <c r="M32" i="81"/>
  <c r="M21" i="81"/>
  <c r="M22" i="67"/>
  <c r="F13" i="67"/>
  <c r="M6" i="67"/>
  <c r="F25" i="81"/>
  <c r="D6" i="73"/>
  <c r="D15" i="80"/>
  <c r="D7" i="73"/>
  <c r="F7" i="81"/>
  <c r="M9" i="15"/>
  <c r="F36" i="67"/>
  <c r="M8" i="67"/>
  <c r="C18" i="15"/>
  <c r="D4" i="73"/>
  <c r="F7" i="67"/>
  <c r="F48" i="15"/>
  <c r="M24" i="67"/>
  <c r="M28" i="15"/>
  <c r="M9" i="81"/>
  <c r="F44" i="15"/>
  <c r="L48" i="67"/>
  <c r="L53" i="15"/>
  <c r="M6" i="81"/>
  <c r="F37" i="67"/>
  <c r="M23" i="15"/>
  <c r="M28" i="67"/>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F27" i="68"/>
  <c r="L52" i="81"/>
  <c r="M23" i="81"/>
  <c r="F8" i="81"/>
  <c r="F48" i="81"/>
  <c r="F27" i="81"/>
  <c r="M25" i="81"/>
  <c r="F27" i="80"/>
  <c r="F9" i="81"/>
  <c r="M28" i="81"/>
  <c r="M22" i="81"/>
  <c r="F21" i="81"/>
  <c r="G1" i="73"/>
  <c r="C83" i="81"/>
  <c r="F23" i="81"/>
  <c r="C34" i="81"/>
  <c r="F29" i="81"/>
  <c r="L53" i="81"/>
  <c r="M8" i="81"/>
  <c r="M27" i="81"/>
  <c r="F44" i="81"/>
  <c r="C16" i="67"/>
  <c r="U7" i="36" l="1"/>
  <c r="G16" i="1"/>
  <c r="F12" i="40" s="1"/>
  <c r="S12" i="40" s="1"/>
  <c r="Q61" i="67"/>
  <c r="P66" i="71"/>
  <c r="P65" i="71"/>
  <c r="J7" i="85"/>
  <c r="W7" i="85" s="1"/>
  <c r="H7" i="85"/>
  <c r="U7" i="85" s="1"/>
  <c r="F7" i="85"/>
  <c r="AA7" i="85" s="1"/>
  <c r="R48" i="85" s="1"/>
  <c r="F79" i="81"/>
  <c r="J62" i="81"/>
  <c r="J60" i="81" s="1"/>
  <c r="J63" i="81" s="1"/>
  <c r="Q55" i="81" s="1"/>
  <c r="J58" i="81"/>
  <c r="L61" i="81" s="1"/>
  <c r="F70" i="81"/>
  <c r="N64" i="81"/>
  <c r="M64" i="81"/>
  <c r="L63" i="81"/>
  <c r="Q80" i="81" s="1"/>
  <c r="C45" i="81"/>
  <c r="F56" i="81"/>
  <c r="F62" i="81" s="1"/>
  <c r="F73" i="81"/>
  <c r="Q78" i="81"/>
  <c r="C21" i="71"/>
  <c r="D22" i="71"/>
  <c r="J7" i="81"/>
  <c r="J9" i="81"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J12" i="39"/>
  <c r="W12" i="39" s="1"/>
  <c r="J12" i="40"/>
  <c r="AC12" i="40" s="1"/>
  <c r="H12" i="39"/>
  <c r="U12" i="39" s="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7" i="67"/>
  <c r="F41" i="67"/>
  <c r="M26" i="15"/>
  <c r="C10" i="80"/>
  <c r="F26" i="15"/>
  <c r="M26" i="81"/>
  <c r="AC7" i="85" l="1"/>
  <c r="V48" i="85" s="1"/>
  <c r="I48" i="85" s="1"/>
  <c r="I52" i="85" s="1"/>
  <c r="J52" i="85" s="1"/>
  <c r="S7" i="85"/>
  <c r="F1" i="81"/>
  <c r="T8" i="43"/>
  <c r="V8" i="43" s="1"/>
  <c r="C42" i="43"/>
  <c r="E42" i="43" s="1"/>
  <c r="T6" i="43"/>
  <c r="V6" i="43" s="1"/>
  <c r="T10" i="43"/>
  <c r="V10" i="43" s="1"/>
  <c r="T11" i="43"/>
  <c r="V11" i="43" s="1"/>
  <c r="C38" i="43"/>
  <c r="G38" i="43" s="1"/>
  <c r="I38" i="43" s="1"/>
  <c r="T5" i="43"/>
  <c r="V5" i="43" s="1"/>
  <c r="T7" i="43"/>
  <c r="V7" i="43" s="1"/>
  <c r="C39" i="43"/>
  <c r="G39" i="43" s="1"/>
  <c r="I39" i="43" s="1"/>
  <c r="C41" i="43"/>
  <c r="E41" i="43" s="1"/>
  <c r="T2" i="43"/>
  <c r="V2" i="43" s="1"/>
  <c r="T14" i="43"/>
  <c r="V14" i="43" s="1"/>
  <c r="T13" i="43"/>
  <c r="V13" i="43" s="1"/>
  <c r="C37" i="43"/>
  <c r="E37" i="43" s="1"/>
  <c r="T4" i="43"/>
  <c r="V4" i="43" s="1"/>
  <c r="T16" i="43"/>
  <c r="V16" i="43" s="1"/>
  <c r="T15" i="43"/>
  <c r="V15" i="43" s="1"/>
  <c r="C40" i="43"/>
  <c r="G40" i="43" s="1"/>
  <c r="I40" i="43" s="1"/>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E48" i="85"/>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E39" i="43"/>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AE6" i="1"/>
  <c r="F26" i="81"/>
  <c r="C66" i="81"/>
  <c r="C35" i="81"/>
  <c r="C17" i="67"/>
  <c r="C32" i="81"/>
  <c r="C14" i="67"/>
  <c r="D16" i="80"/>
  <c r="C35" i="15"/>
  <c r="C66" i="15"/>
  <c r="G53" i="85" l="1"/>
  <c r="H53" i="85" s="1"/>
  <c r="R49" i="85"/>
  <c r="C49" i="85" s="1"/>
  <c r="D2" i="85" s="1"/>
  <c r="B2" i="85" s="1"/>
  <c r="B3" i="85" s="1"/>
  <c r="G52" i="85"/>
  <c r="H52" i="85" s="1"/>
  <c r="E40" i="43"/>
  <c r="G37" i="43"/>
  <c r="I37" i="43" s="1"/>
  <c r="C34" i="43"/>
  <c r="E34" i="43" s="1"/>
  <c r="C31" i="43" s="1"/>
  <c r="E38" i="43"/>
  <c r="G41" i="43"/>
  <c r="I41" i="43" s="1"/>
  <c r="G42" i="43"/>
  <c r="I42" i="43" s="1"/>
  <c r="E33" i="43"/>
  <c r="C64" i="81"/>
  <c r="H24" i="6"/>
  <c r="F76" i="81"/>
  <c r="C19" i="71"/>
  <c r="T20" i="71"/>
  <c r="D20" i="71"/>
  <c r="U20" i="71" s="1"/>
  <c r="I53" i="85"/>
  <c r="J53" i="85" s="1"/>
  <c r="E53" i="85"/>
  <c r="F53" i="85" s="1"/>
  <c r="E52" i="85"/>
  <c r="F52" i="85" s="1"/>
  <c r="C16" i="80"/>
  <c r="C14" i="80" s="1"/>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C12" i="80"/>
  <c r="C48" i="85" l="1"/>
  <c r="U6" i="1" s="1"/>
  <c r="C30" i="43"/>
  <c r="C18" i="71"/>
  <c r="D19" i="71"/>
  <c r="C43" i="80"/>
  <c r="C18" i="80"/>
  <c r="C44" i="80" s="1"/>
  <c r="C33" i="15"/>
  <c r="C43" i="68"/>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F6" i="81"/>
  <c r="E6" i="76"/>
  <c r="C7" i="81" l="1"/>
  <c r="C9" i="81" s="1"/>
  <c r="C6" i="81" s="1"/>
  <c r="F14" i="81"/>
  <c r="E2" i="76"/>
  <c r="B2" i="43"/>
  <c r="C17" i="7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B2" i="76" l="1"/>
  <c r="B3" i="76" s="1"/>
  <c r="B3" i="43"/>
  <c r="B4" i="43"/>
  <c r="D4" i="43"/>
  <c r="C50" i="80"/>
  <c r="C49" i="80" s="1"/>
  <c r="C16" i="71"/>
  <c r="D17" i="71"/>
  <c r="C25" i="80"/>
  <c r="C23"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0" i="81"/>
  <c r="F20" i="15"/>
  <c r="M20" i="15"/>
  <c r="F35" i="67"/>
  <c r="M20" i="81"/>
  <c r="C56" i="80" l="1"/>
  <c r="C57" i="80" s="1"/>
  <c r="C31" i="80" s="1"/>
  <c r="C15" i="71"/>
  <c r="T16" i="71"/>
  <c r="D16" i="71"/>
  <c r="U16" i="71" s="1"/>
  <c r="C5" i="80"/>
  <c r="J19" i="81"/>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G42" i="35"/>
  <c r="H42" i="35" s="1"/>
  <c r="K67" i="40"/>
  <c r="L65" i="40"/>
  <c r="C32" i="80" l="1"/>
  <c r="C33" i="80" s="1"/>
  <c r="D3" i="80" s="1"/>
  <c r="B2" i="80" s="1"/>
  <c r="C58" i="80"/>
  <c r="C59" i="80" s="1"/>
  <c r="E53" i="21"/>
  <c r="F53" i="21" s="1"/>
  <c r="C14" i="71"/>
  <c r="D15" i="71"/>
  <c r="C64" i="80"/>
  <c r="C63" i="80" s="1"/>
  <c r="J32" i="81"/>
  <c r="J33" i="81" s="1"/>
  <c r="J22" i="81" s="1"/>
  <c r="J21" i="81"/>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C19" i="9"/>
  <c r="L51" i="67"/>
  <c r="L56" i="81"/>
  <c r="F2" i="33"/>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F2" i="37"/>
  <c r="C20" i="9"/>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9" i="71" l="1"/>
  <c r="C8" i="71"/>
  <c r="D102" i="9"/>
  <c r="I19" i="9"/>
  <c r="B7" i="70"/>
  <c r="D103" i="9"/>
  <c r="G20" i="9"/>
  <c r="N25" i="1" s="1"/>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F118" i="9" s="1"/>
  <c r="G118" i="9" s="1"/>
  <c r="N119" i="9"/>
  <c r="H118" i="9" s="1"/>
  <c r="C6" i="71"/>
  <c r="D7" i="71"/>
  <c r="B3" i="40"/>
  <c r="B4" i="40"/>
  <c r="B5" i="40"/>
  <c r="C90" i="15"/>
  <c r="C89" i="15" s="1"/>
  <c r="F14" i="74"/>
  <c r="B5" i="74"/>
  <c r="AO9" i="1"/>
  <c r="AO6" i="1"/>
  <c r="AO8" i="1"/>
  <c r="C34" i="9" l="1"/>
  <c r="L119" i="9" s="1"/>
  <c r="D118" i="9" s="1"/>
  <c r="M117" i="9"/>
  <c r="D6" i="71"/>
  <c r="C5" i="71"/>
  <c r="D5" i="71" s="1"/>
  <c r="M24" i="43"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<sst xmlns="http://schemas.openxmlformats.org/spreadsheetml/2006/main" count="10067" uniqueCount="4109">
  <si>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</si>
  <si>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</si>
  <si>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</si>
  <si>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</si>
  <si>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</si>
  <si>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</si>
  <si>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</si>
  <si>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</si>
  <si>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</si>
  <si>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</si>
  <si>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</si>
  <si>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</si>
  <si>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</si>
  <si>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</si>
  <si>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</si>
  <si>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</si>
  <si>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</si>
  <si>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</si>
  <si>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</si>
  <si>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</si>
  <si>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</si>
  <si>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</si>
  <si>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</si>
  <si>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</si>
  <si>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</si>
  <si>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</si>
  <si>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</si>
  <si>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</si>
  <si>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</si>
  <si>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</si>
  <si>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</si>
  <si>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</si>
  <si>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</si>
  <si>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</si>
  <si>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</si>
  <si>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</si>
  <si>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</si>
  <si>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</si>
  <si>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</si>
  <si>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</si>
  <si>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</si>
  <si>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</si>
  <si>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</si>
  <si>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</si>
  <si>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</si>
  <si>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</si>
  <si>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</si>
  <si>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</si>
  <si>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</si>
  <si>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</si>
  <si>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</si>
  <si>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</si>
  <si>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</si>
  <si>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</si>
  <si>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</si>
  <si>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</si>
  <si>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</si>
  <si>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</si>
  <si>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</si>
  <si>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</si>
  <si>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</si>
  <si>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</si>
  <si>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</si>
  <si>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</si>
  <si>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</si>
  <si>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</si>
  <si>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</si>
  <si>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</si>
  <si>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</si>
  <si>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</si>
  <si>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</si>
  <si>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</si>
  <si>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</si>
  <si>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</si>
  <si>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</si>
  <si>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</si>
  <si>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</si>
  <si>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</si>
  <si>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</si>
  <si>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</si>
  <si>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</si>
  <si>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</si>
  <si>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</si>
  <si>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</si>
  <si>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</si>
  <si>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</si>
  <si>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</si>
  <si>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</si>
  <si>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</si>
  <si>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</si>
  <si>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</si>
  <si>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</si>
  <si>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</si>
  <si>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</si>
  <si>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</si>
  <si>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</si>
  <si>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</si>
  <si>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</si>
  <si>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</si>
  <si>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</si>
  <si>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</si>
  <si>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</si>
  <si>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</si>
  <si>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</si>
  <si>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</si>
  <si>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</si>
  <si>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</si>
  <si>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</si>
  <si>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</si>
  <si>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</si>
  <si>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</si>
  <si>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</si>
  <si>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</si>
  <si>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</si>
  <si>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</si>
  <si>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</si>
  <si>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</si>
  <si>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</si>
  <si>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</si>
  <si>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</si>
  <si>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</si>
  <si>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</si>
  <si>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</si>
  <si>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</si>
  <si>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</si>
  <si>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</si>
  <si>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</si>
  <si>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</si>
  <si>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</si>
  <si>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</si>
  <si>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</si>
  <si>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</si>
  <si>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</si>
  <si>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</si>
  <si>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</si>
  <si>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</si>
  <si>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</si>
  <si>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</si>
  <si>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</si>
  <si>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</si>
  <si>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</si>
  <si>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</si>
  <si>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</si>
  <si>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</si>
  <si>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</si>
  <si>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</si>
  <si>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</si>
  <si>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</si>
  <si>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</si>
  <si>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</si>
  <si>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</si>
  <si>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</si>
  <si>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</si>
  <si>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</si>
  <si>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</si>
  <si>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</si>
  <si>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</si>
  <si>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</si>
  <si>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</si>
  <si>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</si>
  <si>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</si>
  <si>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</si>
  <si>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</si>
  <si>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</si>
  <si>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</si>
  <si>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</si>
  <si>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</si>
  <si>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</si>
  <si>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</si>
  <si>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</si>
  <si>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</si>
  <si>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</si>
  <si>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</si>
  <si>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</si>
  <si>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</si>
  <si>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</si>
  <si>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</si>
  <si>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</si>
  <si>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</si>
  <si>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</si>
  <si>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</si>
  <si>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</si>
  <si>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</si>
  <si>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</si>
  <si>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</si>
  <si>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</si>
  <si>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</si>
  <si>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</si>
  <si>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</si>
  <si>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</si>
  <si>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</si>
  <si>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</si>
  <si>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</si>
  <si>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</si>
  <si>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</si>
  <si>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</si>
  <si>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</si>
  <si>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</si>
  <si>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</si>
  <si>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</si>
  <si>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</si>
  <si>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</si>
  <si>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</si>
  <si>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</si>
  <si>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</si>
  <si>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</si>
  <si>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</si>
  <si>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</si>
  <si>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</si>
  <si>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</si>
  <si>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</si>
  <si>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</si>
  <si>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</si>
  <si>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</si>
  <si>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</si>
  <si>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</si>
  <si>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</si>
  <si>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</si>
  <si>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</si>
  <si>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</si>
  <si>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</si>
  <si>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</si>
  <si>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</si>
  <si>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</si>
  <si>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</si>
  <si>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</si>
  <si>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</si>
  <si>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</si>
  <si>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</si>
  <si>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</si>
  <si>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</si>
  <si>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</si>
  <si>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</si>
  <si>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</si>
  <si>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</si>
  <si>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</si>
  <si>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</si>
  <si>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</si>
  <si>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</si>
  <si>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</si>
  <si>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</si>
  <si>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</si>
  <si>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</si>
  <si>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</si>
  <si>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</si>
  <si>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</si>
  <si>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</si>
  <si>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</si>
  <si>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</si>
  <si>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</si>
  <si>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</si>
  <si>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</si>
  <si>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</si>
  <si>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</si>
  <si>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</si>
  <si>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</si>
  <si>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</si>
  <si>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</si>
  <si>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</si>
  <si>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</si>
  <si>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</si>
  <si>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</si>
  <si>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</si>
  <si>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</si>
  <si>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</si>
  <si>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</si>
  <si>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</si>
  <si>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</si>
  <si>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</si>
  <si>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</si>
  <si>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</si>
  <si>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</si>
  <si>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</si>
  <si>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</si>
  <si>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</si>
  <si>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</si>
  <si>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</si>
  <si>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</si>
  <si>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</si>
  <si>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</si>
  <si>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</si>
  <si>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</si>
  <si>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</si>
  <si>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</si>
  <si>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</si>
  <si>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</si>
  <si>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</si>
  <si>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</si>
  <si>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</si>
  <si>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</si>
  <si>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</si>
  <si>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</si>
  <si>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</si>
  <si>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</si>
  <si>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</si>
  <si>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</si>
  <si>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</si>
  <si>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</si>
  <si>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</si>
  <si>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</si>
  <si>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</si>
  <si>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</si>
  <si>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</si>
  <si>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</si>
  <si>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</si>
  <si>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</si>
  <si>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</si>
  <si>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</si>
  <si>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</si>
  <si>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</si>
  <si>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</si>
  <si>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</si>
  <si>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</si>
  <si>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</si>
  <si>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</si>
  <si>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</si>
  <si>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</si>
  <si>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</si>
  <si>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</si>
  <si>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</si>
  <si>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</si>
  <si>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</si>
  <si>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</si>
  <si>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</si>
  <si>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</si>
  <si>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</si>
  <si>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</si>
  <si>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</si>
  <si>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</si>
  <si>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</si>
  <si>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</si>
  <si>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</si>
  <si>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</si>
  <si>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</si>
  <si>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</si>
  <si>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</si>
  <si>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</si>
  <si>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</si>
  <si>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</si>
  <si>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</si>
  <si>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</si>
  <si>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</si>
  <si>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</si>
  <si>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</si>
  <si>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</si>
  <si>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</si>
  <si>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</si>
  <si>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</si>
  <si>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</si>
  <si>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</si>
  <si>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</si>
  <si>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</si>
  <si>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</si>
  <si>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</si>
  <si>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</si>
  <si>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</si>
  <si>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</si>
  <si>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</si>
  <si>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</si>
  <si>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</si>
  <si>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</si>
  <si>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</si>
  <si>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</si>
  <si>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</si>
  <si>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</si>
  <si>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</si>
  <si>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</si>
  <si>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</si>
  <si>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</si>
  <si>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</si>
  <si>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</si>
  <si>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</si>
  <si>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</si>
  <si>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</si>
  <si>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</si>
  <si>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</si>
  <si>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</si>
  <si>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</si>
  <si>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</si>
  <si>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</si>
  <si>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</si>
  <si>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</si>
  <si>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</si>
  <si>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</si>
  <si>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</si>
  <si>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</si>
  <si>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</si>
  <si>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</si>
  <si>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</si>
  <si>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</si>
  <si>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</si>
  <si>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</si>
  <si>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</si>
  <si>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</si>
  <si>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</si>
  <si>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</si>
  <si>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</si>
  <si>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</si>
  <si>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</si>
  <si>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</si>
  <si>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</si>
  <si>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</si>
  <si>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</si>
  <si>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</si>
  <si>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</si>
  <si>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</si>
  <si>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</si>
  <si>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</si>
  <si>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</si>
  <si>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</si>
  <si>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</si>
  <si>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</si>
  <si>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</si>
  <si>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</si>
  <si>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</si>
  <si>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</si>
  <si>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</si>
  <si>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</si>
  <si>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</si>
  <si>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</si>
  <si>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</si>
  <si>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</si>
  <si>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</si>
  <si>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</si>
  <si>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</si>
  <si>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</si>
  <si>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</si>
  <si>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</si>
  <si>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</si>
  <si>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</si>
  <si>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</si>
  <si>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</si>
  <si>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</si>
  <si>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</si>
  <si>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</si>
  <si>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</si>
  <si>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</si>
  <si>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</si>
  <si>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</si>
  <si>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</si>
  <si>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</si>
  <si>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</si>
  <si>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</si>
  <si>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</si>
  <si>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</si>
  <si>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</si>
  <si>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</si>
  <si>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</si>
  <si>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</si>
  <si>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</si>
  <si>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</si>
  <si>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</si>
  <si>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</si>
  <si>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</si>
  <si>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</si>
  <si>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</si>
  <si>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</si>
  <si>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</si>
  <si>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</si>
  <si>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</si>
  <si>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</si>
  <si>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</si>
  <si>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</si>
  <si>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</si>
  <si>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</si>
  <si>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</si>
  <si>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</si>
  <si>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</si>
  <si>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</si>
  <si>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</si>
  <si>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</si>
  <si>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</si>
  <si>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</si>
  <si>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</si>
  <si>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</si>
  <si>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</si>
  <si>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</si>
  <si>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</si>
  <si>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</si>
  <si>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</si>
  <si>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</si>
  <si>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</si>
  <si>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</si>
  <si>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</si>
  <si>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</si>
  <si>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</si>
  <si>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</si>
  <si>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</si>
  <si>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</si>
  <si>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</si>
  <si>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</si>
  <si>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</si>
  <si>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</si>
  <si>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</si>
  <si>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</si>
  <si>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</si>
  <si>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</si>
  <si>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</si>
  <si>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</si>
  <si>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</si>
  <si>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</si>
  <si>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</si>
  <si>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</si>
  <si>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</si>
  <si>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</si>
  <si>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</si>
  <si>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</si>
  <si>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</si>
  <si>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</si>
  <si>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</si>
  <si>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</si>
  <si>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</si>
  <si>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</si>
  <si>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</si>
  <si>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</si>
  <si>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</si>
  <si>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</si>
  <si>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</si>
  <si>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</si>
  <si>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</si>
  <si>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</si>
  <si>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</si>
  <si>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</si>
  <si>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</si>
  <si>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</si>
  <si>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</si>
  <si>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</si>
  <si>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</si>
  <si>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</si>
  <si>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</si>
  <si>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</si>
  <si>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</si>
  <si>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</si>
  <si>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</si>
  <si>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</si>
  <si>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</si>
  <si>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</si>
  <si>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</si>
  <si>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</si>
  <si>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</si>
  <si>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</si>
  <si>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</si>
  <si>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</si>
  <si>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</si>
  <si>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</si>
  <si>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</si>
  <si>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</si>
  <si>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</si>
  <si>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</si>
  <si>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</si>
  <si>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</si>
  <si>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</si>
  <si>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</si>
  <si>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</si>
  <si>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</si>
  <si>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</si>
  <si>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</si>
  <si>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</si>
  <si>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</si>
  <si>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</si>
  <si>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</si>
  <si>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</si>
  <si>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</si>
  <si>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</si>
  <si>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</si>
  <si>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</si>
  <si>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</si>
  <si>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</si>
  <si>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</si>
  <si>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</si>
  <si>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</si>
  <si>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</si>
  <si>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</si>
  <si>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</si>
  <si>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</si>
  <si>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</si>
  <si>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</si>
  <si>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</si>
  <si>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</si>
  <si>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</si>
  <si>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</si>
  <si>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</si>
  <si>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</si>
  <si>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</si>
  <si>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</si>
  <si>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</si>
  <si>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</si>
  <si>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</si>
  <si>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</si>
  <si>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</si>
  <si>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</si>
  <si>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</si>
  <si>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</si>
  <si>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</si>
  <si>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</si>
  <si>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</si>
  <si>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</si>
  <si>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</si>
  <si>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</si>
  <si>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</si>
  <si>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</si>
  <si>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</si>
  <si>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</si>
  <si>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</si>
  <si>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</si>
  <si>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</si>
  <si>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</si>
  <si>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</si>
  <si>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</si>
  <si>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</si>
  <si>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</si>
  <si>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</si>
  <si>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</si>
  <si>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</si>
  <si>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</si>
  <si>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</si>
  <si>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</si>
  <si>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</si>
  <si>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</si>
  <si>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</si>
  <si>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</si>
  <si>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</si>
  <si>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</si>
  <si>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</si>
  <si>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</si>
  <si>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</si>
  <si>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</si>
  <si>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</si>
  <si>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</si>
  <si>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</si>
  <si>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</si>
  <si>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</si>
  <si>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</si>
  <si>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</si>
  <si>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</si>
  <si>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</si>
  <si>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</si>
  <si>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</si>
  <si>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</si>
  <si>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</si>
  <si>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</si>
  <si>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</si>
  <si>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</si>
  <si>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</si>
  <si>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</si>
  <si>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</si>
  <si>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</si>
  <si>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</si>
  <si>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</si>
  <si>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</si>
  <si>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</si>
  <si>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</si>
  <si>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</si>
  <si>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</si>
  <si>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</si>
  <si>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</si>
  <si>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</si>
  <si>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</si>
  <si>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</si>
  <si>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</si>
  <si>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</si>
  <si>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</si>
  <si>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</si>
  <si>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</si>
  <si>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</si>
  <si>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</si>
  <si>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</si>
  <si>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</si>
  <si>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</si>
  <si>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</si>
  <si>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</si>
  <si>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</si>
  <si>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</si>
  <si>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</si>
  <si>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</si>
  <si>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</si>
  <si>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</si>
  <si>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</si>
  <si>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</si>
  <si>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</si>
  <si>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</si>
  <si>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</si>
  <si>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</si>
  <si>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</si>
  <si>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</si>
  <si>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</si>
  <si>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</si>
  <si>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</si>
  <si>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</si>
  <si>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</si>
  <si>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</si>
  <si>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</si>
  <si>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</si>
  <si>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</si>
  <si>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</si>
  <si>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</si>
  <si>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</si>
  <si>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</si>
  <si>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</si>
  <si>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</si>
  <si>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</si>
  <si>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</si>
  <si>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</si>
  <si>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</si>
  <si>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</si>
  <si>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</si>
  <si>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</si>
  <si>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</si>
  <si>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</si>
  <si>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</si>
  <si>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</si>
  <si>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</si>
  <si>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</si>
  <si>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</si>
  <si>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</si>
  <si>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</si>
  <si>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</si>
  <si>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</si>
  <si>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</si>
  <si>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</si>
  <si>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</si>
  <si>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</si>
  <si>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</si>
  <si>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</si>
  <si>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</si>
  <si>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</si>
  <si>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</si>
  <si>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</si>
  <si>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</si>
  <si>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</si>
  <si>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</si>
  <si>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</si>
  <si>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</si>
  <si>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</si>
  <si>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</si>
  <si>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</si>
  <si>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</si>
  <si>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</si>
  <si>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</si>
  <si>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</si>
  <si>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</si>
  <si>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</si>
  <si>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</si>
  <si>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</si>
  <si>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</si>
  <si>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</si>
  <si>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</si>
  <si>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</si>
  <si>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</si>
  <si>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</si>
  <si>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</si>
  <si>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</si>
  <si>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</si>
  <si>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</si>
  <si>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</si>
  <si>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</si>
  <si>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</si>
  <si>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</si>
  <si>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</si>
  <si>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</si>
  <si>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</si>
  <si>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</si>
  <si>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</si>
  <si>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</si>
  <si>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</si>
  <si>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</si>
  <si>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</si>
  <si>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</si>
  <si>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</si>
  <si>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</si>
  <si>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</si>
  <si>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</si>
  <si>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</si>
  <si>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</si>
  <si>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</si>
  <si>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</si>
  <si>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</si>
  <si>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</si>
  <si>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</si>
  <si>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</si>
  <si>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</si>
  <si>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</si>
  <si>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</si>
  <si>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</si>
  <si>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</si>
  <si>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</si>
  <si>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</si>
  <si>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</si>
  <si>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</si>
  <si>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</si>
  <si>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</si>
  <si>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</si>
  <si>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</si>
  <si>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</si>
  <si>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</si>
  <si>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</si>
  <si>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</si>
  <si>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</si>
  <si>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</si>
  <si>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</si>
  <si>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</si>
  <si>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</si>
  <si>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</si>
  <si>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</si>
  <si>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</si>
  <si>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</si>
  <si>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</si>
  <si>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</si>
  <si>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</si>
  <si>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</si>
  <si>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</si>
  <si>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</si>
  <si>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</si>
  <si>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</si>
  <si>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</si>
  <si>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</si>
  <si>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</si>
  <si>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</si>
  <si>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</si>
  <si>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</si>
  <si>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</si>
  <si>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</si>
  <si>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</si>
  <si>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</si>
  <si>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</si>
  <si>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</si>
  <si>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</si>
  <si>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</si>
  <si>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</si>
  <si>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</si>
  <si>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</si>
  <si>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</si>
  <si>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</si>
  <si>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</si>
  <si>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</si>
  <si>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</si>
  <si>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</si>
  <si>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</si>
  <si>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</si>
  <si>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</si>
  <si>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</si>
  <si>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</si>
  <si>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</si>
  <si>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</si>
  <si>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</si>
  <si>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</si>
  <si>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</si>
  <si>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</si>
  <si>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</si>
  <si>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</si>
  <si>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</si>
  <si>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</si>
  <si>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</si>
  <si>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</si>
  <si>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</si>
  <si>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</si>
  <si>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</si>
  <si>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</si>
  <si>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</si>
  <si>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</si>
  <si>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</si>
  <si>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</si>
  <si>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</si>
  <si>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</si>
  <si>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</si>
  <si>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</si>
  <si>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</si>
  <si>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</si>
  <si>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</si>
  <si>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</si>
  <si>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</si>
  <si>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</si>
  <si>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</si>
  <si>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</si>
  <si>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</si>
  <si>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</si>
  <si>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</si>
  <si>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</si>
  <si>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</si>
  <si>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</si>
  <si>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</si>
  <si>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</si>
  <si>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</si>
  <si>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</si>
  <si>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</si>
  <si>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</si>
  <si>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</si>
  <si>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</si>
  <si>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</si>
  <si>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</si>
  <si>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</si>
  <si>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</si>
  <si>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</si>
  <si>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</si>
  <si>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</si>
  <si>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</si>
  <si>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</si>
  <si>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</si>
  <si>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</si>
  <si>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</si>
  <si>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</si>
  <si>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</si>
  <si>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</si>
  <si>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</si>
  <si>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</si>
  <si>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</si>
  <si>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</si>
  <si>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</si>
  <si>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</si>
  <si>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</si>
  <si>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</si>
  <si>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</si>
  <si>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</si>
  <si>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</si>
  <si>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</si>
  <si>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</si>
  <si>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</si>
  <si>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</si>
  <si>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</si>
  <si>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</si>
  <si>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</si>
  <si>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</si>
  <si>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</si>
  <si>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</si>
  <si>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</si>
  <si>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</si>
  <si>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</si>
  <si>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</si>
  <si>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</si>
  <si>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</si>
  <si>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</si>
  <si>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</si>
  <si>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</si>
  <si>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</si>
  <si>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</si>
  <si>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</si>
  <si>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</si>
  <si>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</si>
  <si>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</si>
  <si>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</si>
  <si>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</si>
  <si>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</si>
  <si>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</si>
  <si>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</si>
  <si>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</si>
  <si>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</si>
  <si>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</si>
  <si>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</si>
  <si>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</si>
  <si>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</si>
  <si>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</si>
  <si>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</si>
  <si>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</si>
  <si>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</si>
  <si>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</si>
  <si>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</si>
  <si>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</si>
  <si>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</si>
  <si>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</si>
  <si>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</si>
  <si>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</si>
  <si>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</si>
  <si>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</si>
  <si>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</si>
  <si>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</si>
  <si>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</si>
  <si>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</si>
  <si>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</si>
  <si>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</si>
  <si>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</si>
  <si>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</si>
  <si>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</si>
  <si>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</si>
  <si>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</si>
  <si>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</si>
  <si>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</si>
  <si>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</si>
  <si>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</si>
  <si>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</si>
  <si>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</si>
  <si>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</si>
  <si>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</si>
  <si>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</si>
  <si>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</si>
  <si>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</si>
  <si>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</si>
  <si>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</si>
  <si>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</si>
  <si>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</si>
  <si>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</si>
  <si>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</si>
  <si>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</si>
  <si>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</si>
  <si>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</si>
  <si>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</si>
  <si>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</si>
  <si>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</si>
  <si>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</si>
  <si>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</si>
  <si>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</si>
  <si>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</si>
  <si>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</si>
  <si>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</si>
  <si>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</si>
  <si>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</si>
  <si>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</si>
  <si>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</si>
  <si>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</si>
  <si>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</si>
  <si>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</si>
  <si>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</si>
  <si>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</si>
  <si>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</si>
  <si>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</si>
  <si>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</si>
  <si>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</si>
  <si>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</si>
  <si>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</si>
  <si>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</si>
  <si>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</si>
  <si>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</si>
  <si>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</si>
  <si>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</si>
  <si>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</si>
  <si>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</si>
  <si>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</si>
  <si>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</si>
  <si>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</si>
  <si>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</si>
  <si>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</si>
  <si>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</si>
  <si>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</si>
  <si>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</si>
  <si>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</si>
  <si>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</si>
  <si>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</si>
  <si>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</si>
  <si>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</si>
  <si>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</si>
  <si>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</si>
  <si>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</si>
  <si>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</si>
  <si>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</si>
  <si>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</si>
  <si>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</si>
  <si>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</si>
  <si>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</si>
  <si>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</si>
  <si>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</si>
  <si>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</si>
  <si>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</si>
  <si>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</si>
  <si>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</si>
  <si>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</si>
  <si>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</si>
  <si>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</si>
  <si>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</si>
  <si>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</si>
  <si>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</si>
  <si>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</si>
  <si>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</si>
  <si>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</si>
  <si>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</si>
  <si>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</si>
  <si>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</si>
  <si>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</si>
  <si>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</si>
  <si>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</si>
  <si>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</si>
  <si>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</si>
  <si>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</si>
  <si>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</si>
  <si>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</si>
  <si>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</si>
  <si>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</si>
  <si>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</si>
  <si>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</si>
  <si>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</si>
  <si>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</si>
  <si>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</si>
  <si>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</si>
  <si>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</si>
  <si>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</si>
  <si>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</si>
  <si>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</si>
  <si>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</si>
  <si>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</si>
  <si>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</si>
  <si>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</si>
  <si>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</si>
  <si>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</si>
  <si>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</si>
  <si>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</si>
  <si>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</si>
  <si>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</si>
  <si>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</si>
  <si>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</si>
  <si>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</si>
  <si>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</si>
  <si>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</si>
  <si>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</si>
  <si>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</si>
  <si>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</si>
  <si>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</si>
  <si>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</si>
  <si>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</si>
  <si>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</si>
  <si>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</si>
  <si>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</si>
  <si>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</si>
  <si>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</si>
  <si>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</si>
  <si>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</si>
  <si>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</si>
  <si>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</si>
  <si>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</si>
  <si>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</si>
  <si>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</si>
  <si>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</si>
  <si>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</si>
  <si>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</si>
  <si>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</si>
  <si>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</si>
  <si>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</si>
  <si>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</si>
  <si>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</si>
  <si>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</si>
  <si>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</si>
  <si>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</si>
  <si>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</si>
  <si>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</si>
  <si>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</si>
  <si>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</si>
  <si>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</si>
  <si>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</si>
  <si>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</si>
  <si>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</si>
  <si>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</si>
  <si>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</si>
  <si>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</si>
  <si>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</si>
  <si>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</si>
  <si>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</si>
  <si>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</si>
  <si>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</si>
  <si>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</si>
  <si>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</si>
  <si>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</si>
  <si>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</si>
  <si>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</si>
  <si>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</si>
  <si>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</si>
  <si>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</si>
  <si>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</si>
  <si>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</si>
  <si>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</si>
  <si>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</si>
  <si>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</si>
  <si>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</si>
  <si>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</si>
  <si>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</si>
  <si>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</si>
  <si>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</si>
  <si>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</si>
  <si>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</si>
  <si>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</si>
  <si>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</si>
  <si>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</si>
  <si>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</si>
  <si>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</si>
  <si>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</si>
  <si>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</si>
  <si>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</si>
  <si>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</si>
  <si>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</si>
  <si>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</si>
  <si>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</si>
  <si>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</si>
  <si>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</si>
  <si>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</si>
  <si>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</si>
  <si>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</si>
  <si>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</si>
  <si>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</si>
  <si>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</si>
  <si>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</si>
  <si>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</si>
  <si>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</si>
  <si>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</si>
  <si>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</si>
  <si>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</si>
  <si>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</si>
  <si>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</si>
  <si>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</si>
  <si>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</si>
  <si>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</si>
  <si>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</si>
  <si>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</si>
  <si>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</si>
  <si>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</si>
  <si>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</si>
  <si>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</si>
  <si>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</si>
  <si>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</si>
  <si>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</si>
  <si>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</si>
  <si>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</si>
  <si>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</si>
  <si>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</si>
  <si>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</si>
  <si>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</si>
  <si>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</si>
  <si>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</si>
  <si>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</si>
  <si>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</si>
  <si>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</si>
  <si>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</si>
  <si>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</si>
  <si>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</si>
  <si>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</si>
  <si>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</si>
  <si>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</si>
  <si>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</si>
  <si>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</si>
  <si>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</si>
  <si>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</si>
  <si>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</si>
  <si>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</si>
  <si>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</si>
  <si>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</si>
  <si>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</si>
  <si>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</si>
  <si>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</si>
  <si>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</si>
  <si>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</si>
  <si>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</si>
  <si>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</si>
  <si>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</si>
  <si>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</si>
  <si>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</si>
  <si>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</si>
  <si>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</si>
  <si>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</si>
  <si>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</si>
  <si>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</si>
  <si>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</si>
  <si>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</si>
  <si>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</si>
  <si>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</si>
  <si>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</si>
  <si>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</si>
  <si>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</si>
  <si>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</si>
  <si>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</si>
  <si>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</si>
  <si>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</si>
  <si>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</si>
  <si>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</si>
  <si>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</si>
  <si>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</si>
  <si>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</si>
  <si>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</si>
  <si>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</si>
  <si>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</si>
  <si>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</si>
  <si>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</si>
  <si>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</si>
  <si>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</si>
  <si>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</si>
  <si>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</si>
  <si>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</si>
  <si>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</si>
  <si>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</si>
  <si>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</si>
  <si>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</si>
  <si>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</si>
  <si>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</si>
  <si>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</si>
  <si>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</si>
  <si>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</si>
  <si>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</si>
  <si>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</si>
  <si>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</si>
  <si>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</si>
  <si>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</si>
  <si>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</si>
  <si>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</si>
  <si>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</si>
  <si>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</si>
  <si>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</si>
  <si>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</si>
  <si>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</si>
  <si>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</si>
  <si>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</si>
  <si>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</si>
  <si>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</si>
  <si>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</si>
  <si>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</si>
  <si>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</si>
  <si>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</si>
  <si>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</si>
  <si>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</si>
  <si>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</si>
  <si>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</si>
  <si>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</si>
  <si>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</si>
  <si>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</si>
  <si>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</si>
  <si>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</si>
  <si>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</si>
  <si>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</si>
  <si>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</si>
  <si>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</si>
  <si>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</si>
  <si>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</si>
  <si>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</si>
  <si>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</si>
  <si>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</si>
  <si>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</si>
  <si>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</si>
  <si>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</si>
  <si>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</si>
  <si>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</si>
  <si>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</si>
  <si>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</si>
  <si>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</si>
  <si>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</si>
  <si>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</si>
  <si>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</si>
  <si>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</si>
  <si>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</si>
  <si>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</si>
  <si>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</si>
  <si>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</si>
  <si>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</si>
  <si>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</si>
  <si>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</si>
  <si>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</si>
  <si>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</si>
  <si>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</si>
  <si>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</si>
  <si>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</si>
  <si>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</si>
  <si>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</si>
  <si>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</si>
  <si>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</si>
  <si>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</si>
  <si>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</si>
  <si>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</si>
  <si>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</si>
  <si>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</si>
  <si>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</si>
  <si>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</si>
  <si>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</si>
  <si>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</si>
  <si>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</si>
  <si>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</si>
  <si>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</si>
  <si>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</si>
  <si>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</si>
  <si>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</si>
  <si>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</si>
  <si>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</si>
  <si>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</si>
  <si>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</si>
  <si>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</si>
  <si>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</si>
  <si>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</si>
  <si>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</si>
  <si>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</si>
  <si>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</si>
  <si>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</si>
  <si>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</si>
  <si>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</si>
  <si>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</si>
  <si>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</si>
  <si>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</si>
  <si>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</si>
  <si>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</si>
  <si>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</si>
  <si>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</si>
  <si>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</si>
  <si>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</si>
  <si>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</si>
  <si>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</si>
  <si>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</si>
  <si>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</si>
  <si>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</si>
  <si>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</si>
  <si>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</si>
  <si>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</si>
  <si>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</si>
  <si>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</si>
  <si>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</si>
  <si>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</si>
  <si>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</si>
  <si>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</si>
  <si>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</si>
  <si>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</si>
  <si>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</si>
  <si>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</si>
  <si>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</si>
  <si>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</si>
  <si>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</si>
  <si>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</si>
  <si>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</si>
  <si>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</si>
  <si>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</si>
  <si>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</si>
  <si>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</si>
  <si>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</si>
  <si>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</si>
  <si>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</si>
  <si>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</si>
  <si>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</si>
  <si>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</si>
  <si>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</si>
  <si>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</si>
  <si>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</si>
  <si>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</si>
  <si>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</si>
  <si>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</si>
  <si>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</si>
  <si>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</si>
  <si>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</si>
  <si>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</si>
  <si>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</si>
  <si>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</si>
  <si>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</si>
  <si>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</si>
  <si>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</si>
  <si>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</si>
  <si>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</si>
  <si>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</si>
  <si>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</si>
  <si>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</si>
  <si>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</si>
  <si>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</si>
  <si>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</si>
  <si>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</si>
  <si>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</si>
  <si>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</si>
  <si>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</si>
  <si>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</si>
  <si>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</si>
  <si>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</si>
  <si>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</si>
  <si>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</si>
  <si>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</si>
  <si>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</si>
  <si>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</si>
  <si>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</si>
  <si>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</si>
  <si>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</si>
  <si>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</si>
  <si>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</si>
  <si>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</si>
  <si>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</si>
  <si>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</si>
  <si>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</si>
  <si>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</si>
  <si>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</si>
  <si>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</si>
  <si>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</si>
  <si>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</si>
  <si>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</si>
  <si>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</si>
  <si>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</si>
  <si>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</si>
  <si>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</si>
  <si>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</si>
  <si>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</si>
  <si>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</si>
  <si>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</si>
  <si>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</si>
  <si>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</si>
  <si>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</si>
  <si>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</si>
  <si>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</si>
  <si>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</si>
  <si>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</si>
  <si>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</si>
  <si>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</si>
  <si>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</si>
  <si>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</si>
  <si>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</si>
  <si>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</si>
  <si>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</si>
  <si>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</si>
  <si>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</si>
  <si>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</si>
  <si>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</si>
  <si>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</si>
  <si>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</si>
  <si>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</si>
  <si>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</si>
  <si>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</si>
  <si>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</si>
  <si>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</si>
  <si>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</si>
  <si>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</si>
  <si>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</si>
  <si>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</si>
  <si>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</si>
  <si>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</si>
  <si>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</si>
  <si>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</si>
  <si>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</si>
  <si>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</si>
  <si>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</si>
  <si>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</si>
  <si>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</si>
  <si>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</si>
  <si>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</si>
  <si>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</si>
  <si>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</si>
  <si>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</si>
  <si>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</si>
  <si>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</si>
  <si>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</si>
  <si>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</si>
  <si>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</si>
  <si>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</si>
  <si>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</si>
  <si>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</si>
  <si>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</si>
  <si>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</si>
  <si>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</si>
  <si>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</si>
  <si>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</si>
  <si>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</si>
  <si>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</si>
  <si>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</si>
  <si>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</si>
  <si>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</si>
  <si>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</si>
  <si>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</si>
  <si>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</si>
  <si>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</si>
  <si>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</si>
  <si>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</si>
  <si>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</si>
  <si>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</si>
  <si>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</si>
  <si>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</si>
  <si>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</si>
  <si>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</si>
  <si>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</si>
  <si>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</si>
  <si>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</si>
  <si>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</si>
  <si>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</si>
  <si>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</si>
  <si>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</si>
  <si>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</si>
  <si>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</si>
  <si>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</si>
  <si>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</si>
  <si>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</si>
  <si>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</si>
  <si>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</si>
  <si>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</si>
  <si>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</si>
  <si>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</si>
  <si>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</si>
  <si>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</si>
  <si>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</si>
  <si>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</si>
  <si>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</si>
  <si>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</si>
  <si>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</si>
  <si>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</si>
  <si>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</si>
  <si>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</si>
  <si>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</si>
  <si>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</si>
  <si>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</si>
  <si>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</si>
  <si>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</si>
  <si>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</si>
  <si>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</si>
  <si>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</si>
  <si>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</si>
  <si>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</si>
  <si>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</si>
  <si>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</si>
  <si>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</si>
  <si>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</si>
  <si>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</si>
  <si>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</si>
  <si>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</si>
  <si>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</si>
  <si>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</si>
  <si>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</si>
  <si>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</si>
  <si>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</si>
  <si>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</si>
  <si>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</si>
  <si>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</si>
  <si>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</si>
  <si>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</si>
  <si>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</si>
  <si>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</si>
  <si>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</si>
  <si>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</si>
  <si>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</si>
  <si>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</si>
  <si>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</si>
  <si>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</si>
  <si>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</si>
  <si>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</si>
  <si>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</si>
  <si>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</si>
  <si>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</si>
  <si>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</si>
  <si>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</si>
  <si>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</si>
  <si>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</si>
  <si>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</si>
  <si>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</si>
  <si>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</si>
  <si>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</si>
  <si>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</si>
  <si>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</si>
  <si>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</si>
  <si>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</si>
  <si>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</si>
  <si>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</si>
  <si>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</si>
  <si>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</si>
  <si>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</si>
  <si>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</si>
  <si>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</si>
  <si>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</si>
  <si>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</si>
  <si>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</si>
  <si>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</si>
  <si>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</si>
  <si>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</si>
  <si>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</si>
  <si>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</si>
  <si>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</si>
  <si>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</si>
  <si>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</si>
  <si>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</si>
  <si>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</si>
  <si>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</si>
  <si>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</si>
  <si>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</si>
  <si>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</si>
  <si>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</si>
  <si>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</si>
  <si>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</si>
  <si>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</si>
  <si>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</si>
  <si>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</si>
  <si>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</si>
  <si>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</si>
  <si>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</si>
  <si>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</si>
  <si>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</si>
  <si>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</si>
  <si>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</si>
  <si>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</si>
  <si>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</si>
  <si>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</si>
  <si>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</si>
  <si>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</si>
  <si>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</si>
  <si>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</si>
  <si>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</si>
  <si>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</si>
  <si>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</si>
  <si>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</si>
  <si>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</si>
  <si>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</si>
  <si>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</si>
  <si>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</si>
  <si>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</si>
  <si>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</si>
  <si>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</si>
  <si>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</si>
  <si>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</si>
  <si>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</si>
  <si>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</si>
  <si>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</si>
  <si>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</si>
  <si>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</si>
  <si>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</si>
  <si>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</si>
  <si>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</si>
  <si>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</si>
  <si>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</si>
  <si>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</si>
  <si>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</si>
  <si>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</si>
  <si>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</si>
  <si>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</si>
  <si>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</si>
  <si>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</si>
  <si>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</si>
  <si>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</si>
  <si>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</si>
  <si>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</si>
  <si>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</si>
  <si>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</si>
  <si>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</si>
  <si>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</si>
  <si>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</si>
  <si>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</si>
  <si>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</si>
  <si>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</si>
  <si>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</si>
  <si>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</si>
  <si>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</si>
  <si>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</si>
  <si>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</si>
  <si>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</si>
  <si>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</si>
  <si>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</si>
  <si>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</si>
  <si>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</si>
  <si>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</si>
  <si>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</si>
  <si>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</si>
  <si>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</si>
  <si>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</si>
  <si>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</si>
  <si>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</si>
  <si>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</si>
  <si>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</si>
  <si>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</si>
  <si>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</si>
  <si>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</si>
  <si>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</si>
  <si>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</si>
  <si>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</si>
  <si>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</si>
  <si>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</si>
  <si>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</si>
  <si>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</si>
  <si>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</si>
  <si>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</si>
  <si>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</si>
  <si>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</si>
  <si>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</si>
  <si>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</si>
  <si>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</si>
  <si>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</si>
  <si>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</si>
  <si>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</si>
  <si>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</si>
  <si>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</si>
  <si>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</si>
  <si>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</si>
  <si>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</si>
  <si>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</si>
  <si>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</si>
  <si>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</si>
  <si>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</si>
  <si>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</si>
  <si>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</si>
  <si>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</si>
  <si>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</si>
  <si>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</si>
  <si>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</si>
  <si>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</si>
  <si>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</si>
  <si>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</si>
  <si>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</si>
  <si>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</si>
  <si>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</si>
  <si>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</si>
  <si>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</si>
  <si>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</si>
  <si>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</si>
  <si>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</si>
  <si>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</si>
  <si>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</si>
  <si>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</si>
  <si>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</si>
  <si>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</si>
  <si>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</si>
  <si>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</si>
  <si>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</si>
  <si>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</si>
  <si>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</si>
  <si>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</si>
  <si>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</si>
  <si>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</si>
  <si>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</si>
  <si>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</si>
  <si>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</si>
  <si>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</si>
  <si>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</si>
  <si>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</si>
  <si>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</si>
  <si>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</si>
  <si>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</si>
  <si>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</si>
  <si>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</si>
  <si>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</si>
  <si>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</si>
  <si>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</si>
  <si>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</si>
  <si>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</si>
  <si>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</si>
  <si>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</si>
  <si>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</si>
  <si>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</si>
  <si>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</si>
  <si>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</si>
  <si>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</si>
  <si>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</si>
  <si>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</si>
  <si>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</si>
  <si>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</si>
  <si>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</si>
  <si>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</si>
  <si>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</si>
  <si>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</si>
  <si>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</si>
  <si>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</si>
  <si>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</si>
  <si>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</si>
  <si>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</si>
  <si>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</si>
  <si>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</si>
  <si>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</si>
  <si>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</si>
  <si>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</si>
  <si>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</si>
  <si>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</si>
  <si>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</si>
  <si>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</si>
  <si>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</si>
  <si>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</si>
  <si>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</si>
  <si>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</si>
  <si>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</si>
  <si>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</si>
  <si>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</si>
  <si>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</si>
  <si>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</si>
  <si>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</si>
  <si>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</si>
  <si>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</si>
  <si>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</si>
  <si>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</si>
  <si>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</si>
  <si>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</si>
  <si>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</si>
  <si>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</si>
  <si>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</si>
  <si>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</si>
  <si>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</si>
  <si>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</si>
  <si>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</si>
  <si>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</si>
  <si>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</si>
  <si>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</si>
  <si>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</si>
  <si>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</si>
  <si>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</si>
  <si>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</si>
  <si>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</si>
  <si>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</si>
  <si>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</si>
  <si>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</si>
  <si>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</si>
  <si>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</si>
  <si>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</si>
  <si>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</si>
  <si>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</si>
  <si>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</si>
  <si>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</si>
  <si>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</si>
  <si>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</si>
  <si>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</si>
  <si>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</si>
  <si>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</si>
  <si>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</si>
  <si>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</si>
  <si>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</si>
  <si>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</si>
  <si>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</si>
  <si>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</si>
  <si>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</si>
  <si>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</si>
  <si>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</si>
  <si>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</si>
  <si>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</si>
  <si>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</si>
  <si>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</si>
  <si>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</si>
  <si>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</si>
  <si>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</si>
  <si>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</si>
  <si>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</si>
  <si>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</si>
  <si>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</si>
  <si>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</si>
  <si>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</si>
  <si>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</si>
  <si>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</si>
  <si>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</si>
  <si>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</si>
  <si>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</si>
  <si>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</si>
  <si>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</si>
  <si>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</si>
  <si>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</si>
  <si>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</si>
  <si>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</si>
  <si>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</si>
  <si>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</si>
  <si>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</si>
  <si>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</si>
  <si>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</si>
  <si>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</si>
  <si>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</si>
  <si>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</si>
  <si>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</si>
  <si>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</si>
  <si>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</si>
  <si>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</si>
  <si>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</si>
  <si>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</si>
  <si>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</si>
  <si>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</si>
  <si>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</si>
  <si>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</si>
  <si>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</si>
  <si>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</si>
  <si>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</si>
  <si>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</si>
  <si>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</si>
  <si>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</si>
  <si>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</si>
  <si>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</si>
  <si>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</si>
  <si>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</si>
  <si>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</si>
  <si>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</si>
  <si>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</si>
  <si>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</si>
  <si>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</si>
  <si>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</si>
  <si>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</si>
  <si>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</si>
  <si>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</si>
  <si>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</si>
  <si>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</si>
  <si>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</si>
  <si>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</si>
  <si>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</si>
  <si>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</si>
  <si>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</si>
  <si>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</si>
  <si>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</si>
  <si>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</si>
  <si>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</si>
  <si>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</si>
  <si>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</si>
  <si>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</si>
  <si>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</si>
  <si>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</si>
  <si>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</si>
  <si>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</si>
  <si>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</si>
  <si>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</si>
  <si>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</si>
  <si>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</si>
  <si>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</si>
  <si>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</si>
  <si>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</si>
  <si>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</si>
  <si>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</si>
  <si>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</si>
  <si>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</si>
  <si>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</si>
  <si>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</si>
  <si>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</si>
  <si>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</si>
  <si>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</si>
  <si>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</si>
  <si>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</si>
  <si>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</si>
  <si>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</si>
  <si>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</si>
  <si>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</si>
  <si>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</si>
  <si>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</si>
  <si>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</si>
  <si>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</si>
  <si>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</si>
  <si>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</si>
  <si>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</si>
  <si>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</si>
  <si>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</si>
  <si>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</si>
  <si>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</si>
  <si>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</si>
  <si>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</si>
  <si>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</si>
  <si>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</si>
  <si>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</si>
  <si>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</si>
  <si>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</si>
  <si>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</si>
  <si>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</si>
  <si>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</si>
  <si>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</si>
  <si>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</si>
  <si>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</si>
  <si>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</si>
  <si>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</si>
  <si>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</si>
  <si>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</si>
  <si>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</si>
  <si>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</si>
  <si>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</si>
  <si>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</si>
  <si>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</si>
  <si>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</si>
  <si>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</si>
  <si>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</si>
  <si>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</si>
  <si>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</si>
  <si>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</si>
  <si>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</si>
  <si>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</si>
  <si>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</si>
  <si>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</si>
  <si>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</si>
  <si>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</si>
  <si>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</si>
  <si>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</si>
  <si>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</si>
  <si>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</si>
  <si>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</si>
  <si>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</si>
  <si>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</si>
  <si>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</si>
  <si>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</si>
  <si>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</si>
  <si>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</si>
  <si>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</si>
  <si>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</si>
  <si>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</si>
  <si>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</si>
  <si>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</si>
  <si>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</si>
  <si>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</si>
  <si>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</si>
  <si>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</si>
  <si>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</si>
  <si>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</si>
  <si>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</si>
  <si>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</si>
  <si>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</si>
  <si>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</si>
  <si>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</si>
  <si>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</si>
  <si>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</si>
  <si>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</si>
  <si>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</si>
  <si>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</si>
  <si>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</si>
  <si>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</si>
  <si>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</si>
  <si>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</si>
  <si>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</si>
  <si>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</si>
  <si>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</si>
  <si>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</si>
  <si>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</si>
  <si>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</si>
  <si>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</si>
  <si>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</si>
  <si>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</si>
  <si>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</si>
  <si>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</si>
  <si>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</si>
  <si>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</si>
  <si>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</si>
  <si>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</si>
  <si>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</si>
  <si>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</si>
  <si>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</si>
  <si>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</si>
  <si>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</si>
  <si>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</si>
  <si>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</si>
  <si>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</si>
  <si>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</si>
  <si>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</si>
  <si>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</si>
  <si>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</si>
  <si>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</si>
  <si>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</si>
  <si>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</si>
  <si>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</si>
  <si>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</si>
  <si>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</si>
  <si>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</si>
  <si>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</si>
  <si>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</si>
  <si>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</si>
  <si>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</si>
  <si>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</si>
  <si>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</si>
  <si>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</si>
  <si>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</si>
  <si>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</si>
  <si>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</si>
  <si>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</si>
  <si>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</si>
  <si>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</si>
  <si>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</si>
  <si>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</si>
  <si>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</si>
  <si>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</si>
  <si>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</si>
  <si>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</si>
  <si>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</si>
  <si>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</si>
  <si>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</si>
  <si>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</si>
  <si>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</si>
  <si>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</si>
  <si>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</si>
  <si>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</si>
  <si>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</si>
  <si>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</si>
  <si>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</si>
  <si>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</si>
  <si>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</si>
  <si>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</si>
  <si>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</si>
  <si>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</si>
  <si>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</si>
  <si>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</si>
  <si>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</si>
  <si>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</si>
  <si>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</si>
  <si>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</si>
  <si>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</si>
  <si>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</si>
  <si>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</si>
  <si>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</si>
  <si>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</si>
  <si>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</si>
  <si>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</si>
  <si>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</si>
  <si>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</si>
  <si>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</si>
  <si>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</si>
  <si>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</si>
  <si>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</si>
  <si>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</si>
  <si>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</si>
  <si>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</si>
  <si>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</si>
  <si>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</si>
  <si>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</si>
  <si>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</si>
  <si>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</si>
  <si>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</si>
  <si>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</si>
  <si>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</si>
  <si>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</si>
  <si>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</si>
  <si>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</si>
  <si>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</si>
  <si>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</si>
  <si>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</si>
  <si>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</si>
  <si>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</si>
  <si>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</si>
  <si>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</si>
  <si>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</si>
  <si>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</si>
  <si>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</si>
  <si>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</si>
  <si>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</si>
  <si>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</si>
  <si>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</si>
  <si>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</si>
  <si>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</si>
  <si>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</si>
  <si>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</si>
  <si>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</si>
  <si>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</si>
  <si>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</si>
  <si>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</si>
  <si>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</si>
  <si>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</si>
  <si>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</si>
  <si>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</si>
  <si>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</si>
  <si>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</si>
  <si>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</si>
  <si>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</si>
  <si>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</si>
  <si>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</si>
  <si>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</si>
  <si>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</si>
  <si>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</si>
  <si>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</si>
  <si>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</si>
  <si>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</si>
  <si>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</si>
  <si>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</si>
  <si>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</si>
  <si>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</si>
  <si>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</si>
  <si>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</si>
  <si>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</si>
  <si>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</si>
  <si>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</si>
  <si>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</si>
  <si>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</si>
  <si>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</si>
  <si>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</si>
  <si>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</si>
  <si>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</si>
  <si>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</si>
  <si>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</si>
  <si>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</si>
  <si>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</si>
  <si>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</si>
  <si>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</si>
  <si>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</si>
  <si>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</si>
  <si>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</si>
  <si>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</si>
  <si>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</si>
  <si>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</si>
  <si>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</si>
  <si>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</si>
  <si>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</si>
  <si>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</si>
  <si>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</si>
  <si>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</si>
  <si>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</si>
  <si>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</si>
  <si>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</si>
  <si>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</si>
  <si>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</si>
  <si>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</si>
  <si>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</si>
  <si>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</si>
  <si>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</si>
  <si>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</si>
  <si>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</si>
  <si>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</si>
  <si>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</si>
  <si>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</si>
  <si>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</si>
  <si>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</si>
  <si>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</si>
  <si>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</si>
  <si>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</si>
  <si>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</si>
  <si>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</si>
  <si>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</si>
  <si>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</si>
  <si>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</si>
  <si>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</si>
  <si>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</si>
  <si>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</si>
  <si>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</si>
  <si>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</si>
  <si>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</si>
  <si>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</si>
  <si>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</si>
  <si>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</si>
  <si>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</si>
  <si>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</si>
  <si>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</si>
  <si>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</si>
  <si>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</si>
  <si>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</si>
  <si>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</si>
  <si>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</si>
  <si>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</si>
  <si>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</si>
  <si>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</si>
  <si>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</si>
  <si>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</si>
  <si>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</si>
  <si>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</si>
  <si>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</si>
  <si>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</si>
  <si>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</si>
  <si>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</si>
  <si>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</si>
  <si>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</si>
  <si>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</si>
  <si>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</si>
  <si>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</si>
  <si>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</si>
  <si>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</si>
  <si>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</si>
  <si>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</si>
  <si>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</si>
  <si>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</si>
  <si>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</si>
  <si>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</si>
  <si>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</si>
  <si>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</si>
  <si>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</si>
  <si>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</si>
  <si>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</si>
  <si>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</si>
  <si>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</si>
  <si>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</si>
  <si>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</si>
  <si>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</si>
  <si>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</si>
  <si>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</si>
  <si>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</si>
  <si>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</si>
  <si>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</si>
  <si>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</si>
  <si>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</si>
  <si>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</si>
  <si>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</si>
  <si>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</si>
  <si>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</si>
  <si>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</si>
  <si>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</si>
  <si>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</si>
  <si>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</si>
  <si>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</si>
  <si>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</si>
  <si>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</si>
  <si>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</si>
  <si>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</si>
  <si>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</si>
  <si>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</si>
  <si>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</si>
  <si>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</si>
  <si>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</si>
  <si>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</si>
  <si>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</si>
  <si>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</si>
  <si>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</si>
  <si>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</si>
  <si>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</si>
  <si>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</si>
  <si>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</si>
  <si>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</si>
  <si>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</si>
  <si>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</si>
  <si>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</si>
  <si>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</si>
  <si>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</si>
  <si>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</si>
  <si>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</si>
  <si>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</si>
  <si>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</si>
  <si>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</si>
  <si>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</si>
  <si>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</si>
  <si>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</si>
  <si>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</si>
  <si>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</si>
  <si>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</si>
  <si>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</si>
  <si>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</si>
  <si>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</si>
  <si>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</si>
  <si>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</si>
  <si>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</si>
  <si>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</si>
  <si>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</si>
  <si>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</si>
  <si>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</si>
  <si>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</si>
  <si>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</si>
  <si>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</si>
  <si>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</si>
  <si>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</si>
  <si>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</si>
  <si>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</si>
  <si>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</si>
  <si>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</si>
  <si>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</si>
  <si>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</si>
  <si>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</si>
  <si>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</si>
  <si>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</si>
  <si>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</si>
  <si>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</si>
  <si>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</si>
  <si>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</si>
  <si>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</si>
  <si>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</si>
  <si>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</si>
  <si>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</si>
  <si>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</si>
  <si>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</si>
  <si>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</si>
  <si>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</si>
  <si>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</si>
  <si>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</si>
  <si>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</si>
  <si>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</si>
  <si>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</si>
  <si>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</si>
  <si>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</si>
  <si>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</si>
  <si>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</si>
  <si>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</si>
  <si>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</si>
  <si>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</si>
  <si>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</si>
  <si>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</si>
  <si>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</si>
  <si>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</si>
  <si>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</si>
  <si>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</si>
  <si>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</si>
  <si>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</si>
  <si>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</si>
  <si>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</si>
  <si>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</si>
  <si>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</si>
  <si>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</si>
  <si>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</si>
  <si>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</si>
  <si>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</si>
  <si>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</si>
  <si>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</si>
  <si>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</si>
  <si>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</si>
  <si>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</si>
  <si>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</si>
  <si>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</si>
  <si>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</si>
  <si>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</si>
  <si>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</si>
  <si>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</si>
  <si>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</si>
  <si>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</si>
  <si>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</si>
  <si>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</si>
  <si>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</si>
  <si>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</si>
  <si>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</si>
  <si>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</si>
  <si>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</si>
  <si>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</si>
  <si>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</si>
  <si>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</si>
  <si>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</si>
  <si>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</si>
  <si>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</si>
  <si>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</si>
  <si>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</si>
  <si>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</si>
  <si>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</si>
  <si>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</si>
  <si>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</si>
  <si>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</si>
  <si>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</si>
  <si>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</si>
  <si>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</si>
  <si>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</si>
  <si>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</si>
  <si>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</si>
  <si>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</si>
  <si>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</si>
  <si>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</si>
  <si>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</si>
  <si>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</si>
  <si>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</si>
  <si>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</si>
  <si>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</si>
  <si>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</si>
  <si>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</si>
  <si>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</si>
  <si>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</si>
  <si>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</si>
  <si>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</si>
  <si>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</si>
  <si>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</si>
  <si>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</si>
  <si>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</si>
  <si>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</si>
  <si>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</si>
  <si>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</si>
  <si>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</si>
  <si>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</si>
  <si>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</si>
  <si>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</si>
  <si>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</si>
  <si>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</si>
  <si>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</si>
  <si>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</si>
  <si>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</si>
  <si>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</si>
  <si>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</si>
  <si>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</si>
  <si>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</si>
  <si>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</si>
  <si>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</si>
  <si>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</si>
  <si>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</si>
  <si>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</si>
  <si>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</si>
  <si>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</si>
  <si>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</si>
  <si>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</si>
  <si>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</si>
  <si>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</si>
  <si>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</si>
  <si>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</si>
  <si>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</si>
  <si>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</si>
  <si>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</si>
  <si>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</si>
  <si>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</si>
  <si>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</si>
  <si>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</si>
  <si>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</si>
  <si>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</si>
  <si>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</si>
  <si>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</si>
  <si>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</si>
  <si>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</si>
  <si>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</si>
  <si>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</si>
  <si>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</si>
  <si>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</si>
  <si>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</si>
  <si>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</si>
  <si>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</si>
  <si>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</si>
  <si>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</si>
  <si>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</si>
  <si>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</si>
  <si>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</si>
  <si>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</si>
  <si>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</si>
  <si>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</si>
  <si>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</si>
  <si>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</si>
  <si>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</si>
  <si>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</si>
  <si>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</si>
  <si>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</si>
  <si>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</si>
  <si>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</si>
  <si>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</si>
  <si>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</si>
  <si>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</si>
  <si>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</si>
  <si>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</si>
  <si>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</si>
  <si>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</si>
  <si>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</si>
  <si>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</si>
  <si>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</si>
  <si>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</si>
  <si>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</si>
  <si>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</si>
  <si>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</si>
  <si>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</si>
  <si>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</si>
  <si>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</si>
  <si>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</si>
  <si>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</si>
  <si>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</si>
  <si>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</si>
  <si>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</si>
  <si>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</si>
  <si>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</si>
  <si>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</si>
  <si>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</si>
  <si>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</si>
  <si>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</si>
  <si>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</si>
  <si>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</si>
  <si>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</si>
  <si>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</si>
  <si>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</si>
  <si>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</si>
  <si>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</si>
  <si>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</si>
  <si>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</si>
  <si>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</si>
  <si>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</si>
  <si>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</si>
  <si>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</si>
  <si>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</si>
  <si>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</si>
  <si>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</si>
  <si>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</si>
  <si>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</si>
  <si>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</si>
  <si>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</si>
  <si>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</si>
  <si>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</si>
  <si>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</si>
  <si>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</si>
  <si>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</si>
  <si>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</si>
  <si>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</si>
  <si>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</si>
  <si>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</si>
  <si>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</si>
  <si>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</si>
  <si>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</si>
  <si>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</si>
  <si>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</si>
  <si>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</si>
  <si>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</si>
  <si>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</si>
  <si>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</si>
  <si>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</si>
  <si>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</si>
  <si>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</si>
  <si>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</si>
  <si>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</si>
  <si>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</si>
  <si>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</si>
  <si>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</si>
  <si>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</si>
  <si>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</si>
  <si>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</si>
  <si>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</si>
  <si>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</si>
  <si>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</si>
  <si>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</si>
  <si>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</si>
  <si>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</si>
  <si>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</si>
  <si>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</si>
  <si>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</si>
  <si>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</si>
  <si>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</si>
  <si>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</si>
  <si>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</si>
  <si>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</si>
  <si>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</si>
  <si>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</si>
  <si>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</si>
  <si>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</si>
  <si>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</si>
  <si>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</si>
  <si>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</si>
  <si>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</si>
  <si>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</si>
  <si>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</si>
  <si>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</si>
  <si>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</si>
  <si>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</si>
  <si>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</si>
  <si>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</si>
  <si>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</si>
  <si>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</si>
  <si>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</si>
  <si>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</si>
  <si>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</si>
  <si>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</si>
  <si>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</si>
  <si>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</si>
  <si>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</si>
  <si>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</si>
  <si>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</si>
  <si>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</si>
  <si>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</si>
  <si>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</si>
  <si>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</si>
  <si>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</si>
  <si>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</si>
  <si>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</si>
  <si>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</si>
  <si>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</si>
  <si>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</si>
  <si>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</si>
  <si>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</si>
  <si>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</si>
  <si>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</si>
  <si>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</si>
  <si>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</si>
  <si>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</si>
  <si>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</si>
  <si>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</si>
  <si>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</si>
  <si>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</si>
  <si>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</si>
  <si>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</si>
  <si>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</si>
  <si>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</si>
  <si>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</si>
  <si>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</si>
  <si>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</si>
  <si>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</si>
  <si>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</si>
  <si>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</si>
  <si>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</si>
  <si>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</si>
  <si>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</si>
  <si>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</si>
  <si>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</si>
  <si>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</si>
  <si>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</si>
  <si>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</si>
  <si>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</si>
  <si>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</si>
  <si>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</si>
  <si>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</si>
  <si>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</si>
  <si>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</si>
  <si>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</si>
  <si>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</si>
  <si>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</si>
  <si>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</si>
  <si>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</si>
  <si>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</si>
  <si>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</si>
  <si>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</si>
  <si>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</si>
  <si>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</si>
  <si>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</si>
  <si>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</si>
  <si>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</si>
  <si>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</si>
  <si>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</si>
  <si>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</si>
  <si>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</si>
  <si>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</si>
  <si>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</si>
  <si>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</si>
  <si>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</si>
  <si>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</si>
  <si>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</si>
  <si>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</si>
  <si>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</si>
  <si>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</si>
  <si>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</si>
  <si>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</si>
  <si>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</si>
  <si>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</si>
  <si>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</si>
  <si>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</si>
  <si>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</si>
  <si>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</si>
  <si>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</si>
  <si>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</si>
  <si>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</si>
  <si>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</si>
  <si>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</si>
  <si>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</si>
  <si>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</si>
  <si>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</si>
  <si>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</si>
  <si>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</si>
  <si>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</si>
  <si>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</si>
  <si>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</si>
  <si>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</si>
  <si>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</si>
  <si>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</si>
  <si>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</si>
  <si>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</si>
  <si>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</si>
  <si>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</si>
  <si>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</si>
  <si>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</si>
  <si>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</si>
  <si>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</si>
  <si>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</si>
  <si>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</si>
  <si>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</si>
  <si>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</si>
  <si>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</si>
  <si>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</si>
  <si>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</si>
  <si>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</si>
  <si>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</si>
  <si>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</si>
  <si>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</si>
  <si>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</si>
  <si>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</si>
  <si>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</si>
  <si>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</si>
  <si>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</si>
  <si>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</si>
  <si>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</si>
  <si>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</si>
  <si>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</si>
  <si>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</si>
  <si>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</si>
  <si>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</si>
  <si>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</si>
  <si>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</si>
  <si>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</si>
  <si>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</si>
  <si>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</si>
  <si>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</si>
  <si>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</si>
  <si>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</si>
  <si>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</si>
  <si>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</si>
  <si>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</si>
  <si>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</si>
  <si>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</si>
  <si>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</si>
  <si>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</si>
  <si>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</si>
  <si>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</si>
  <si>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</si>
  <si>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</si>
  <si>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</si>
  <si>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</si>
  <si>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</si>
  <si>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</si>
  <si>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</si>
  <si>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</si>
  <si>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</si>
  <si>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</si>
  <si>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</si>
  <si>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</si>
  <si>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</si>
  <si>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</si>
  <si>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</si>
  <si>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</si>
  <si>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</si>
  <si>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</si>
  <si>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</si>
  <si>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</si>
  <si>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</si>
  <si>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</si>
  <si>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</si>
  <si>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</si>
  <si>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</si>
  <si>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</si>
  <si>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</si>
  <si>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</si>
  <si>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</si>
  <si>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</si>
  <si>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</si>
  <si>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</si>
  <si>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</si>
  <si>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</si>
  <si>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</si>
  <si>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</si>
  <si>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</si>
  <si>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</si>
  <si>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</si>
  <si>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</si>
  <si>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</si>
  <si>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</si>
  <si>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</si>
  <si>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</si>
  <si>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</si>
  <si>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</si>
  <si>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</si>
  <si>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</si>
  <si>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</si>
  <si>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</si>
  <si>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</si>
  <si>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</si>
  <si>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</si>
  <si>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</si>
  <si>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</si>
  <si>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</si>
  <si>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</si>
  <si>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</si>
  <si>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</si>
  <si>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</si>
  <si>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</si>
  <si>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</si>
  <si>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</si>
  <si>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</si>
  <si>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</si>
  <si>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</si>
  <si>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</si>
  <si>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</si>
  <si>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</si>
  <si>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</si>
  <si>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</si>
  <si>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</si>
  <si>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</si>
  <si>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</si>
  <si>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</si>
  <si>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</si>
  <si>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</si>
  <si>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</si>
  <si>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</si>
  <si>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</si>
  <si>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</si>
  <si>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</si>
  <si>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</si>
  <si>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</si>
  <si>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</si>
  <si>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</si>
  <si>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</si>
  <si>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</si>
  <si>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</si>
  <si>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</si>
  <si>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</si>
  <si>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</si>
  <si>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</si>
  <si>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</si>
  <si>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</si>
  <si>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</si>
  <si>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</si>
  <si>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</si>
  <si>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</si>
  <si>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</si>
  <si>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</si>
  <si>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</si>
  <si>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</si>
  <si>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</si>
  <si>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</si>
  <si>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</si>
  <si>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</si>
  <si>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</si>
  <si>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</si>
  <si>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</si>
  <si>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</si>
  <si>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</si>
  <si>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</si>
  <si>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</si>
  <si>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</si>
  <si>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</si>
  <si>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</si>
  <si>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</si>
  <si>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</si>
  <si>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</si>
  <si>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</si>
  <si>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</si>
  <si>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</si>
  <si>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</si>
  <si>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</si>
  <si>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</si>
  <si>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</si>
  <si>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</si>
  <si>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</si>
  <si>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</si>
  <si>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</si>
  <si>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</si>
  <si>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</si>
  <si>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</si>
  <si>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</si>
  <si>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</si>
  <si>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</si>
  <si>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</si>
  <si>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</si>
  <si>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</si>
  <si>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</si>
  <si>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</si>
  <si>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</si>
  <si>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</si>
  <si>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</si>
  <si>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</si>
  <si>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</si>
  <si>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</si>
  <si>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</si>
  <si>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</si>
  <si>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</si>
  <si>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</si>
  <si>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</si>
  <si>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</si>
  <si>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</si>
  <si>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</si>
  <si>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</si>
  <si>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</si>
  <si>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</si>
  <si>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</si>
  <si>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</si>
  <si>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</si>
  <si>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</si>
  <si>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</si>
  <si>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</si>
  <si>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</si>
  <si>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</si>
  <si>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</si>
  <si>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</si>
  <si>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</si>
  <si>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</si>
  <si>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</si>
  <si>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</si>
  <si>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</si>
  <si>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</si>
  <si>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</si>
  <si>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</si>
  <si>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</si>
  <si>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</si>
  <si>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</si>
  <si>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</si>
  <si>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</si>
  <si>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</si>
  <si>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</si>
  <si>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</si>
  <si>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</si>
  <si>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</si>
  <si>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</si>
  <si>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</si>
  <si>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</si>
  <si>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</si>
  <si>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</si>
  <si>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</si>
  <si>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</si>
  <si>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</si>
  <si>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</si>
  <si>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</si>
  <si>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</si>
  <si>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</si>
  <si>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</si>
  <si>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</si>
  <si>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</si>
  <si>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</si>
  <si>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</si>
  <si>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</si>
  <si>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</si>
  <si>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</si>
  <si>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</si>
  <si>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</si>
  <si>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</si>
  <si>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</si>
  <si>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</si>
  <si>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</si>
  <si>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</si>
  <si>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</si>
  <si>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</si>
  <si>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</si>
  <si>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</si>
  <si>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</si>
  <si>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</si>
  <si>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</si>
  <si>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</si>
  <si>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</si>
  <si>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</si>
  <si>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</si>
  <si>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</si>
  <si>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</si>
  <si>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</si>
  <si>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</si>
  <si>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</si>
  <si>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</si>
  <si>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</si>
  <si>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</si>
  <si>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</si>
  <si>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</si>
  <si>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</si>
  <si>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</si>
  <si>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</si>
  <si>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</si>
  <si>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</si>
  <si>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</si>
  <si>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</si>
  <si>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</si>
  <si>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</si>
  <si>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</si>
  <si>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</si>
  <si>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</si>
  <si>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</si>
  <si>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</si>
  <si>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</si>
  <si>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</si>
  <si>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</si>
  <si>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</si>
  <si>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</si>
  <si>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</si>
  <si>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</si>
  <si>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</si>
  <si>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</si>
  <si>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</si>
  <si>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</si>
  <si>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</si>
  <si>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</si>
  <si>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</si>
  <si>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</si>
  <si>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</si>
  <si>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</si>
  <si>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</si>
  <si>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</si>
  <si>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</si>
  <si>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</si>
  <si>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</si>
  <si>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</si>
  <si>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</si>
  <si>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</si>
  <si>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</si>
  <si>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</si>
  <si>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</si>
  <si>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</si>
  <si>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</si>
  <si>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</si>
  <si>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</si>
  <si>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</si>
  <si>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</si>
  <si>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</si>
  <si>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</si>
  <si>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</si>
  <si>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</si>
  <si>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</si>
  <si>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</si>
  <si>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</si>
  <si>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</si>
  <si>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</si>
  <si>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</si>
  <si>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</si>
  <si>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</si>
  <si>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</si>
  <si>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</si>
  <si>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</si>
  <si>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</si>
  <si>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</si>
  <si>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</si>
  <si>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</si>
  <si>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</si>
  <si>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</si>
  <si>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</si>
  <si>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</si>
  <si>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</si>
  <si>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</si>
  <si>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</si>
  <si>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</si>
  <si>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</si>
  <si>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</si>
  <si>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</si>
  <si>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</si>
  <si>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</si>
  <si>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</si>
  <si>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</si>
  <si>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</si>
  <si>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</si>
  <si>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</si>
  <si>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</si>
  <si>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</si>
  <si>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</si>
  <si>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</si>
  <si>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</si>
  <si>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</si>
  <si>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</si>
  <si>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</si>
  <si>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</si>
  <si>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</si>
  <si>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</si>
  <si>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</si>
  <si>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</si>
  <si>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</si>
  <si>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</si>
  <si>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</si>
  <si>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</si>
  <si>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</si>
  <si>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</si>
  <si>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</si>
  <si>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</si>
  <si>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</si>
  <si>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</si>
  <si>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</si>
  <si>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</si>
  <si>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</si>
  <si>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</si>
  <si>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</si>
  <si>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</si>
  <si>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</si>
  <si>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</si>
  <si>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</si>
  <si>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</si>
  <si>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</si>
  <si>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</si>
  <si>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</si>
  <si>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</si>
  <si>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</si>
  <si>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</si>
  <si>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</si>
  <si>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</si>
  <si>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</si>
  <si>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</si>
  <si>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</si>
  <si>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</si>
  <si>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</si>
  <si>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</si>
  <si>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</si>
  <si>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</si>
  <si>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</si>
  <si>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</si>
  <si>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</si>
  <si>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</si>
  <si>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</si>
  <si>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</si>
  <si>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</si>
  <si>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</si>
  <si>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</si>
  <si>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</si>
  <si>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</si>
  <si>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</si>
  <si>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</si>
  <si>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</si>
  <si>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</si>
  <si>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</si>
  <si>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</si>
  <si>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</si>
  <si>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</si>
  <si>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</si>
  <si>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</si>
  <si>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</si>
  <si>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</si>
  <si>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</si>
  <si>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</si>
  <si>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</si>
  <si>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</si>
  <si>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</si>
  <si>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</si>
  <si>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</si>
  <si>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</si>
  <si>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</si>
  <si>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</si>
  <si>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</si>
  <si>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</si>
  <si>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</si>
  <si>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</si>
  <si>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</si>
  <si>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</si>
  <si>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</si>
  <si>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</si>
  <si>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</si>
  <si>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</si>
  <si>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</si>
  <si>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</si>
  <si>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</si>
  <si>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</si>
  <si>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</si>
  <si>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</si>
  <si>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</si>
  <si>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</si>
  <si>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</si>
  <si>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</si>
  <si>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</si>
  <si>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</si>
  <si>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</si>
  <si>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</si>
  <si>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</si>
  <si>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</si>
  <si>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</si>
  <si>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</si>
  <si>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</si>
  <si>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</si>
  <si>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</si>
  <si>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</si>
  <si>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</si>
  <si>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</si>
  <si>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</si>
  <si>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</si>
  <si>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</si>
  <si>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</si>
  <si>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</si>
  <si>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</si>
  <si>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</si>
  <si>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</si>
  <si>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</si>
  <si>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</si>
  <si>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</si>
  <si>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</si>
  <si>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</si>
  <si>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</si>
  <si>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</si>
  <si>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</si>
  <si>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</si>
  <si>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</si>
  <si>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</si>
  <si>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</si>
  <si>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</si>
  <si>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</si>
  <si>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</si>
  <si>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</si>
  <si>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</si>
  <si>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</si>
  <si>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</si>
  <si>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</si>
  <si>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</si>
  <si>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</si>
  <si>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</si>
  <si>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</si>
  <si>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</si>
  <si>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</si>
  <si>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</si>
  <si>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</si>
  <si>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</si>
  <si>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</si>
  <si>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</si>
  <si>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</si>
  <si>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</si>
  <si>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</si>
  <si>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</si>
  <si>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</si>
  <si>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</si>
  <si>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</si>
  <si>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</si>
  <si>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</si>
  <si>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</si>
  <si>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</si>
  <si>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</si>
  <si>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</si>
  <si>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</si>
  <si>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</si>
  <si>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</si>
  <si>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</si>
  <si>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</si>
  <si>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</si>
  <si>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</si>
  <si>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</si>
  <si>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</si>
  <si>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</si>
  <si>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</si>
  <si>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</si>
  <si>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</si>
  <si>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</si>
  <si>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</si>
  <si>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</si>
  <si>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</si>
  <si>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</si>
  <si>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</si>
  <si>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</si>
  <si>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</si>
  <si>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</si>
  <si>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</si>
  <si>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</si>
  <si>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</si>
  <si>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</si>
  <si>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</si>
  <si>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</si>
  <si>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</si>
  <si>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</si>
  <si>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</si>
  <si>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</si>
  <si>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</si>
  <si>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</si>
  <si>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</si>
  <si>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</si>
  <si>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</si>
  <si>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</si>
  <si>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</si>
  <si>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</si>
  <si>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</si>
  <si>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</si>
  <si>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</si>
  <si>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</si>
  <si>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</si>
  <si>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</si>
  <si>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</si>
  <si>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</si>
  <si>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</si>
  <si>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</si>
  <si>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</si>
  <si>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</si>
  <si>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</si>
  <si>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</si>
  <si>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</si>
  <si>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</si>
  <si>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</si>
  <si>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</si>
  <si>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</si>
  <si>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</si>
  <si>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</si>
  <si>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</si>
  <si>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</si>
  <si>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</si>
  <si>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</si>
  <si>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</si>
  <si>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</si>
  <si>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</si>
  <si>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</si>
  <si>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</si>
  <si>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</si>
  <si>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</si>
  <si>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</si>
  <si>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</si>
  <si>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</si>
  <si>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</si>
  <si>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</si>
  <si>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</si>
  <si>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</si>
  <si>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</si>
  <si>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</si>
  <si>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</si>
  <si>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</si>
  <si>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</si>
  <si>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</si>
  <si>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</si>
  <si>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</si>
  <si>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</si>
  <si>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</si>
  <si>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</si>
  <si>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</si>
  <si>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</si>
  <si>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</si>
  <si>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</si>
  <si>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</si>
  <si>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</si>
  <si>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</si>
  <si>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</si>
  <si>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</si>
  <si>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</si>
  <si>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</si>
  <si>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</si>
  <si>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</si>
  <si>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</si>
  <si>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</si>
  <si>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</si>
  <si>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</si>
  <si>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</si>
  <si>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</si>
  <si>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</si>
  <si>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</si>
  <si>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</si>
  <si>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</si>
  <si>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</si>
  <si>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</si>
  <si>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</si>
  <si>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</si>
  <si>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</si>
  <si>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</si>
  <si>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</si>
  <si>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</si>
  <si>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</si>
  <si>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</si>
  <si>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</si>
  <si>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</si>
  <si>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</si>
  <si>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</si>
  <si>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</si>
  <si>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</si>
  <si>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</si>
  <si>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</si>
  <si>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</si>
  <si>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</si>
  <si>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</si>
  <si>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</si>
  <si>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</si>
  <si>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</si>
  <si>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</si>
  <si>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</si>
  <si>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</si>
  <si>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</si>
  <si>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</si>
  <si>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</si>
  <si>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</si>
  <si>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</si>
  <si>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</si>
  <si>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</si>
  <si>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</si>
  <si>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</si>
  <si>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</si>
  <si>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</si>
  <si>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</si>
  <si>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</si>
  <si>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</si>
  <si>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</si>
  <si>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</si>
  <si>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</si>
  <si>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</si>
  <si>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</si>
  <si>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</si>
  <si>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</si>
  <si>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</si>
  <si>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</si>
  <si>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</si>
  <si>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</si>
  <si>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</si>
  <si>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</si>
  <si>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</si>
  <si>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</si>
  <si>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</si>
  <si>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</si>
  <si>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</si>
  <si>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</si>
  <si>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</si>
  <si>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</si>
  <si>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</si>
  <si>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</si>
  <si>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</si>
  <si>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</si>
  <si>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</si>
  <si>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</si>
  <si>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</si>
  <si>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</si>
  <si>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</si>
  <si>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</si>
  <si>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</si>
  <si>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</si>
  <si>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</si>
  <si>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</si>
  <si>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</si>
  <si>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</si>
  <si>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</si>
  <si>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</si>
  <si>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</si>
  <si>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</si>
  <si>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</si>
  <si>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</si>
  <si>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</si>
  <si>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</si>
  <si>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</si>
  <si>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</si>
  <si>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</si>
  <si>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</si>
  <si>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</si>
  <si>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</si>
  <si>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</si>
  <si>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</si>
  <si>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</si>
  <si>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</si>
  <si>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</si>
  <si>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</si>
  <si>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</si>
  <si>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</si>
  <si>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</si>
  <si>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</si>
  <si>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</si>
  <si>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</si>
  <si>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</si>
  <si>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</si>
  <si>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</si>
  <si>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</si>
  <si>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</si>
  <si>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</si>
  <si>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</si>
  <si>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</si>
  <si>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</si>
  <si>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</si>
  <si>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</si>
  <si>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</si>
  <si>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</si>
  <si>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</si>
  <si>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</si>
  <si>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</si>
  <si>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</si>
  <si>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</si>
  <si>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</si>
  <si>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</si>
  <si>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</si>
  <si>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</si>
  <si>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</si>
  <si>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</si>
  <si>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</si>
  <si>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</si>
  <si>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</si>
  <si>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</si>
  <si>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</si>
  <si>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</si>
  <si>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</si>
  <si>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</si>
  <si>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</si>
  <si>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</si>
  <si>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</si>
  <si>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</si>
  <si>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</si>
  <si>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</si>
  <si>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</si>
  <si>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</si>
  <si>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</si>
  <si>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</si>
  <si>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</si>
  <si>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</si>
  <si>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</si>
  <si>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</si>
  <si>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</si>
  <si>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</si>
  <si>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</si>
  <si>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</si>
  <si>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</si>
  <si>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</si>
  <si>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</si>
  <si>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</si>
  <si>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</si>
  <si>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</si>
  <si>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</si>
  <si>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</si>
  <si>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</si>
  <si>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</si>
  <si>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</si>
  <si>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</si>
  <si>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</si>
  <si>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</si>
  <si>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</si>
  <si>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</si>
  <si>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</si>
  <si>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</si>
  <si>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</si>
  <si>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</si>
  <si>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</si>
  <si>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</si>
  <si>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</si>
  <si>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</si>
  <si>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</si>
  <si>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</si>
  <si>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</si>
  <si>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</si>
  <si>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</si>
  <si>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</si>
  <si>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</si>
  <si>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</si>
  <si>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</si>
  <si>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</si>
  <si>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</si>
  <si>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</si>
  <si>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</si>
  <si>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</si>
  <si>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</si>
  <si>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</si>
  <si>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</si>
  <si>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</si>
  <si>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</si>
  <si>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</si>
  <si>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</si>
  <si>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</si>
  <si>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</si>
  <si>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</si>
  <si>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</si>
  <si>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</si>
  <si>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</si>
  <si>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</si>
  <si>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</si>
  <si>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</si>
  <si>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</si>
  <si>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</si>
  <si>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</si>
  <si>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</si>
  <si>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</si>
  <si>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</si>
  <si>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</si>
  <si>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</si>
  <si>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</si>
  <si>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</si>
  <si>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</si>
  <si>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</si>
  <si>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</si>
  <si>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</si>
  <si>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</si>
  <si>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</si>
  <si>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</si>
  <si>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</si>
  <si>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</si>
  <si>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</si>
  <si>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</si>
  <si>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</si>
  <si>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</si>
  <si>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</si>
  <si>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</si>
  <si>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</si>
  <si>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</si>
  <si>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</si>
  <si>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</si>
  <si>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</si>
  <si>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</si>
  <si>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</si>
  <si>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</si>
  <si>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</si>
  <si>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</si>
  <si>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</si>
  <si>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</si>
  <si>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</si>
  <si>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</si>
  <si>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</si>
  <si>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</si>
  <si>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</si>
  <si>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</si>
  <si>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</si>
  <si>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</si>
  <si>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</si>
  <si>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</si>
  <si>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</si>
  <si>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</si>
  <si>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</si>
  <si>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</si>
  <si>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</si>
  <si>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</si>
  <si>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</si>
  <si>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</si>
  <si>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</si>
  <si>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</si>
  <si>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</si>
  <si>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</si>
  <si>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</si>
  <si>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</si>
  <si>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</si>
  <si>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</si>
  <si>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</si>
  <si>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</si>
  <si>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</si>
  <si>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</si>
  <si>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</si>
  <si>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</si>
  <si>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</si>
  <si>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</si>
  <si>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</si>
  <si>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</si>
  <si>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</si>
  <si>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</si>
  <si>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</si>
  <si>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</si>
  <si>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</si>
  <si>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</si>
  <si>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</si>
  <si>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</si>
  <si>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</si>
  <si>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</si>
  <si>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</si>
  <si>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</si>
  <si>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</si>
  <si>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</si>
  <si>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</si>
  <si>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</si>
  <si>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</si>
  <si>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</si>
  <si>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</si>
  <si>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</si>
  <si>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</si>
  <si>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</si>
  <si>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</si>
  <si>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</si>
  <si>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</si>
  <si>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</si>
  <si>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</si>
  <si>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</si>
  <si>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</si>
  <si>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</si>
  <si>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</si>
  <si>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</si>
  <si>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</si>
  <si>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</si>
  <si>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</si>
  <si>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</si>
  <si>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</si>
  <si>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</si>
  <si>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</si>
  <si>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</si>
  <si>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</si>
  <si>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</si>
  <si>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</si>
  <si>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</si>
  <si>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</si>
  <si>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</si>
  <si>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</si>
  <si>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</si>
  <si>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</si>
  <si>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</si>
  <si>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</si>
  <si>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</si>
  <si>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</si>
  <si>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</si>
  <si>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</si>
  <si>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</si>
  <si>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</si>
  <si>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</si>
  <si>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</si>
  <si>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</si>
  <si>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</si>
  <si>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</si>
  <si>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</si>
  <si>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</si>
  <si>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</si>
  <si>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</si>
  <si>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</si>
  <si>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</si>
  <si>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</si>
  <si>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</si>
  <si>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</si>
  <si>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</si>
  <si>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</si>
  <si>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</si>
  <si>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</si>
  <si>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</si>
  <si>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</si>
  <si>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</si>
  <si>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</si>
  <si>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</si>
  <si>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</si>
  <si>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</si>
  <si>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</si>
  <si>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</si>
  <si>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</si>
  <si>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</si>
  <si>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</si>
  <si>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</si>
  <si>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</si>
  <si>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</si>
  <si>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</si>
  <si>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</si>
  <si>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</si>
  <si>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</si>
  <si>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</si>
  <si>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</si>
  <si>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</si>
  <si>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</si>
  <si>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</si>
  <si>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</si>
  <si>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</si>
  <si>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</si>
  <si>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</si>
  <si>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</si>
  <si>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</si>
  <si>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</si>
  <si>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</si>
  <si>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</si>
  <si>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</si>
  <si>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</si>
  <si>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</si>
  <si>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</si>
  <si>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</si>
  <si>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</si>
  <si>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</si>
  <si>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</si>
  <si>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</si>
  <si>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</si>
  <si>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</si>
  <si>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</si>
  <si>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</si>
  <si>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</si>
  <si>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</si>
  <si>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</si>
  <si>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</si>
  <si>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</si>
  <si>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</si>
  <si>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</si>
  <si>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</si>
  <si>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</si>
  <si>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</si>
  <si>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</si>
  <si>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</si>
  <si>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</si>
  <si>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</si>
  <si>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</si>
  <si>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</si>
  <si>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</si>
  <si>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</si>
  <si>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</si>
  <si>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</si>
  <si>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</si>
  <si>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</si>
  <si>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</si>
  <si>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</si>
  <si>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</si>
  <si>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</si>
  <si>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</si>
  <si>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</si>
  <si>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</si>
  <si>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</si>
  <si>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</si>
  <si>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</si>
  <si>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</si>
  <si>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</si>
  <si>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</si>
  <si>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</si>
  <si>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</si>
  <si>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</si>
  <si>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</si>
  <si>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</si>
  <si>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</si>
  <si>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</si>
  <si>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</si>
  <si>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</si>
  <si>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</si>
  <si>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</si>
  <si>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</si>
  <si>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</si>
  <si>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</si>
  <si>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</si>
  <si>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</si>
  <si>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</si>
  <si>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</si>
  <si>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</si>
  <si>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</si>
  <si>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</si>
  <si>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</si>
  <si>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</si>
  <si>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</si>
  <si>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</si>
  <si>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</si>
  <si>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</si>
  <si>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</si>
  <si>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</si>
  <si>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</si>
  <si>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</si>
  <si>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</si>
  <si>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</si>
  <si>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</si>
  <si>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</si>
  <si>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</si>
  <si>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</si>
  <si>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</si>
  <si>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</si>
  <si>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</si>
  <si>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</si>
  <si>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</si>
  <si>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</si>
  <si>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</si>
  <si>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</si>
  <si>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</si>
  <si>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</si>
  <si>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</si>
  <si>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</si>
  <si>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</si>
  <si>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</si>
  <si>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</si>
  <si>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</si>
  <si>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</si>
  <si>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</si>
  <si>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</si>
  <si>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</si>
  <si>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</si>
  <si>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</si>
  <si>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</si>
  <si>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</si>
  <si>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</si>
  <si>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</si>
  <si>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</si>
  <si>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</si>
  <si>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</si>
  <si>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</si>
  <si>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</si>
  <si>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</si>
  <si>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</si>
  <si>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</si>
  <si>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</si>
  <si>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</si>
  <si>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</si>
  <si>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</si>
  <si>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</si>
  <si>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</si>
  <si>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</si>
  <si>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</si>
  <si>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</si>
  <si>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</si>
  <si>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</si>
  <si>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</si>
  <si>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</si>
  <si>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</si>
  <si>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</si>
  <si>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</si>
  <si>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</si>
  <si>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</si>
  <si>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</si>
  <si>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</si>
  <si>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南北</t>
    <phoneticPr fontId="134" type="noConversion"/>
  </si>
  <si>
    <t>低/18</t>
    <phoneticPr fontId="134" type="noConversion"/>
  </si>
  <si>
    <t>单套模式</t>
  </si>
  <si>
    <t>租金</t>
  </si>
  <si>
    <t>含税</t>
  </si>
  <si>
    <t>正常</t>
  </si>
  <si>
    <t>住宅</t>
    <phoneticPr fontId="134" type="noConversion"/>
  </si>
  <si>
    <t>多层板楼</t>
    <phoneticPr fontId="134" type="noConversion"/>
  </si>
  <si>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</si>
  <si>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</si>
  <si>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</si>
  <si>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</si>
  <si>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</si>
  <si>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</si>
  <si>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</si>
  <si>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</si>
  <si>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t>收益法 (元)</t>
  </si>
  <si>
    <t>住宅</t>
    <phoneticPr fontId="7" type="noConversion"/>
  </si>
  <si>
    <t>不含税</t>
  </si>
  <si>
    <t>押一</t>
  </si>
  <si>
    <t>按不含税租金收入计税</t>
  </si>
  <si>
    <t>比较法-住宅</t>
  </si>
  <si>
    <t>非生产用房</t>
  </si>
  <si>
    <t>售价</t>
  </si>
  <si>
    <t>序号</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</si>
  <si>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</si>
  <si>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</si>
  <si>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</si>
  <si>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</si>
  <si>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</si>
  <si>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</si>
  <si>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</si>
  <si>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</si>
  <si>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</si>
  <si>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</si>
  <si>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</si>
  <si>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</si>
  <si>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</si>
  <si>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</si>
  <si>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</si>
  <si>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</si>
  <si>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</si>
  <si>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</si>
  <si>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北京市朝阳区</t>
  </si>
  <si>
    <t>商品房</t>
  </si>
  <si>
    <t>住宅</t>
    <phoneticPr fontId="24" type="noConversion"/>
  </si>
  <si>
    <t>钢混</t>
    <phoneticPr fontId="24" type="noConversion"/>
  </si>
  <si>
    <t>砖混</t>
    <phoneticPr fontId="24" type="noConversion"/>
  </si>
  <si>
    <t>楼层</t>
    <phoneticPr fontId="24" type="noConversion"/>
  </si>
  <si>
    <t>普通装修</t>
    <phoneticPr fontId="24" type="noConversion"/>
  </si>
  <si>
    <t>七通</t>
    <phoneticPr fontId="134" type="noConversion"/>
  </si>
  <si>
    <t>六通</t>
    <phoneticPr fontId="134" type="noConversion"/>
  </si>
  <si>
    <t>存量住宅—征收率</t>
  </si>
  <si>
    <t>自定义容积率</t>
  </si>
  <si>
    <t>不临65条商业街</t>
  </si>
  <si>
    <t>有</t>
  </si>
  <si>
    <t>通路</t>
  </si>
  <si>
    <t>通电</t>
  </si>
  <si>
    <t>通讯</t>
  </si>
  <si>
    <t>通上水</t>
  </si>
  <si>
    <t>通下水</t>
  </si>
  <si>
    <t>燃气</t>
  </si>
  <si>
    <t>平整</t>
  </si>
  <si>
    <t>按公示增长率计算</t>
  </si>
  <si>
    <t>容积率修正</t>
  </si>
  <si>
    <t>未包含在土地购买价格中</t>
  </si>
  <si>
    <t>成本法 (元)</t>
  </si>
  <si>
    <t>500米范围内</t>
  </si>
  <si>
    <t>已包含在土地取得成本中</t>
  </si>
  <si>
    <t>中心城区</t>
  </si>
  <si>
    <t>全部缴纳</t>
  </si>
  <si>
    <t>核定资产</t>
  </si>
  <si>
    <t>房地产市场价值</t>
  </si>
  <si>
    <t>北京市</t>
  </si>
  <si>
    <t>自然人</t>
  </si>
  <si>
    <t>无</t>
  </si>
  <si>
    <t>与级别开发程度一致</t>
  </si>
  <si>
    <t>通热</t>
  </si>
  <si>
    <t>好</t>
  </si>
  <si>
    <t>安华西里</t>
    <phoneticPr fontId="134" type="noConversion"/>
  </si>
  <si>
    <t>西</t>
  </si>
  <si>
    <t>西</t>
    <phoneticPr fontId="134" type="noConversion"/>
  </si>
  <si>
    <t>低/11</t>
    <phoneticPr fontId="134" type="noConversion"/>
  </si>
  <si>
    <t>东南</t>
  </si>
  <si>
    <t>东南</t>
    <phoneticPr fontId="134" type="noConversion"/>
  </si>
  <si>
    <t>中/21</t>
    <phoneticPr fontId="134" type="noConversion"/>
  </si>
  <si>
    <t>中/6</t>
    <phoneticPr fontId="134" type="noConversion"/>
  </si>
  <si>
    <t>西南</t>
  </si>
  <si>
    <t>西南</t>
    <phoneticPr fontId="134" type="noConversion"/>
  </si>
  <si>
    <t>低/11</t>
    <phoneticPr fontId="134" type="noConversion"/>
  </si>
  <si>
    <t>东南</t>
    <phoneticPr fontId="134" type="noConversion"/>
  </si>
  <si>
    <t>低/18</t>
    <phoneticPr fontId="134" type="noConversion"/>
  </si>
  <si>
    <t>南北</t>
    <phoneticPr fontId="134" type="noConversion"/>
  </si>
  <si>
    <t>高/6</t>
    <phoneticPr fontId="134" type="noConversion"/>
  </si>
  <si>
    <t>南北东</t>
  </si>
  <si>
    <t>南北东</t>
    <phoneticPr fontId="134" type="noConversion"/>
  </si>
  <si>
    <t>低/18</t>
    <phoneticPr fontId="134" type="noConversion"/>
  </si>
  <si>
    <r>
      <t>14/21</t>
    </r>
    <r>
      <rPr>
        <sz val="11"/>
        <color indexed="8"/>
        <rFont val="宋体"/>
        <family val="3"/>
        <charset val="134"/>
      </rPr>
      <t>（中）</t>
    </r>
    <phoneticPr fontId="134" type="noConversion"/>
  </si>
  <si>
    <r>
      <rPr>
        <sz val="11"/>
        <color indexed="8"/>
        <rFont val="宋体"/>
        <family val="3"/>
        <charset val="134"/>
      </rPr>
      <t>低</t>
    </r>
    <r>
      <rPr>
        <sz val="11"/>
        <color indexed="8"/>
        <rFont val="Arial"/>
        <family val="2"/>
      </rPr>
      <t>/18</t>
    </r>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</si>
  <si>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</si>
  <si>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</si>
  <si>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</si>
  <si>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</si>
  <si>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</si>
  <si>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塔楼</t>
  </si>
  <si>
    <t>塔楼</t>
    <phoneticPr fontId="134" type="noConversion"/>
  </si>
  <si>
    <t>2026-3-09909-RB</t>
  </si>
  <si>
    <t>常睿</t>
  </si>
  <si>
    <t>安华西里一区4号楼14层2门1412</t>
  </si>
  <si>
    <t>安华西里一区</t>
  </si>
  <si>
    <t>郑宇</t>
  </si>
  <si>
    <t>房改房（成本价）</t>
  </si>
  <si>
    <t>2026-3-06740-RB</t>
  </si>
  <si>
    <t>周小洁</t>
  </si>
  <si>
    <t>安华西里一区32号楼10层1006</t>
  </si>
  <si>
    <t>九〇（未给证明）</t>
  </si>
  <si>
    <t>2026-3-03677-RB</t>
  </si>
  <si>
    <t>吴非、郝海利</t>
  </si>
  <si>
    <t>安华西里一区5号楼4层1门404</t>
  </si>
  <si>
    <t>竣工1994，登记表1987，谨慎出1987</t>
  </si>
  <si>
    <t>2026-3-03387-RB</t>
  </si>
  <si>
    <t>中国工商银行北京市分行</t>
  </si>
  <si>
    <t>安华西里一区30号楼5层505</t>
  </si>
  <si>
    <t>2026-3-00447-RB</t>
  </si>
  <si>
    <t>刘美燕</t>
  </si>
  <si>
    <t>安华西里一区18号楼6层1单元602</t>
  </si>
  <si>
    <t>裴筝</t>
  </si>
  <si>
    <t>06（-01）</t>
  </si>
  <si>
    <t>2025-3-46643-RB</t>
  </si>
  <si>
    <t>杨帆</t>
  </si>
  <si>
    <t>安华西里一区24号楼9层906</t>
  </si>
  <si>
    <t>2025-3-45838-RB</t>
  </si>
  <si>
    <t>北京银行股份有限公司</t>
  </si>
  <si>
    <t>安华西里一区4号楼5层2-509</t>
  </si>
  <si>
    <t>安华里一区</t>
  </si>
  <si>
    <t>2025-3-43412-RB</t>
  </si>
  <si>
    <t>毕亚芬</t>
  </si>
  <si>
    <t>安华西里一区17号楼1层1-103</t>
  </si>
  <si>
    <t>2025-3-41485-RB</t>
  </si>
  <si>
    <t>张丽菲</t>
  </si>
  <si>
    <t>安华西里一区2号楼8层801</t>
  </si>
  <si>
    <t>竣工1985，登记表1987，谨慎出1985</t>
  </si>
  <si>
    <t>2025-3-35971-RB</t>
  </si>
  <si>
    <t>徐胜</t>
  </si>
  <si>
    <t>安华西里一区27号楼3层307</t>
  </si>
  <si>
    <t>2025-3-35398-RB</t>
  </si>
  <si>
    <t>刘玉友</t>
  </si>
  <si>
    <t>安华西里一区32号楼5层502</t>
  </si>
  <si>
    <t>2025-3-27018-RA</t>
  </si>
  <si>
    <t>上海浦东发展银行股份有限公司北京分行</t>
  </si>
  <si>
    <t>安华西里一区3号楼5层510</t>
  </si>
  <si>
    <t>安华西里一区28号楼14层1401</t>
    <phoneticPr fontId="3" type="noConversion"/>
  </si>
  <si>
    <t>南北东</t>
    <phoneticPr fontId="24" type="noConversion"/>
  </si>
  <si>
    <t>南北西</t>
    <phoneticPr fontId="24" type="noConversion"/>
  </si>
  <si>
    <t>南北</t>
    <phoneticPr fontId="24" type="noConversion"/>
  </si>
  <si>
    <t>东西南</t>
  </si>
  <si>
    <t>东西南</t>
    <phoneticPr fontId="24" type="noConversion"/>
  </si>
  <si>
    <r>
      <t>14/21</t>
    </r>
    <r>
      <rPr>
        <sz val="11"/>
        <color indexed="8"/>
        <rFont val="宋体"/>
        <family val="3"/>
        <charset val="134"/>
      </rPr>
      <t>（中）</t>
    </r>
    <phoneticPr fontId="24" type="noConversion"/>
  </si>
  <si>
    <r>
      <t>9/22</t>
    </r>
    <r>
      <rPr>
        <sz val="11"/>
        <color indexed="8"/>
        <rFont val="宋体"/>
        <family val="3"/>
        <charset val="134"/>
      </rPr>
      <t>（中）</t>
    </r>
    <phoneticPr fontId="24" type="noConversion"/>
  </si>
  <si>
    <r>
      <t>8/16</t>
    </r>
    <r>
      <rPr>
        <sz val="11"/>
        <color indexed="8"/>
        <rFont val="宋体"/>
        <family val="3"/>
        <charset val="134"/>
      </rPr>
      <t>（中）</t>
    </r>
    <phoneticPr fontId="24" type="noConversion"/>
  </si>
  <si>
    <r>
      <t>3/21</t>
    </r>
    <r>
      <rPr>
        <sz val="11"/>
        <color indexed="8"/>
        <rFont val="宋体"/>
        <family val="3"/>
        <charset val="134"/>
      </rPr>
      <t>（低）</t>
    </r>
    <phoneticPr fontId="24" type="noConversion"/>
  </si>
  <si>
    <t>塔楼</t>
    <phoneticPr fontId="24" type="noConversion"/>
  </si>
  <si>
    <t>板楼</t>
    <phoneticPr fontId="24" type="noConversion"/>
  </si>
  <si>
    <t>七通</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</si>
</sst>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208"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Fill="1">
      <alignment vertical="center"/>
    </xf>
    <xf numFmtId="14" fontId="0" fillId="0" borderId="0" xfId="0" applyNumberFormat="1" applyFill="1">
      <alignment vertical="center"/>
    </xf>
    <xf numFmtId="0" fontId="0" fillId="0" borderId="0" xfId="0" applyFill="1">
      <alignment vertical="center"/>
    </xf>
    <xf numFmtId="0" fontId="96" fillId="0" borderId="0" xfId="0" applyFont="1" applyFill="1">
      <alignment vertical="center"/>
    </xf>
    <xf numFmtId="14" fontId="96" fillId="0" borderId="0" xfId="0" applyNumberFormat="1" applyFont="1" applyFill="1">
      <alignment vertical="center"/>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292" fillId="23" borderId="173" xfId="0" applyFont="1" applyFill="1" applyBorder="1" applyAlignment="1">
      <alignment horizontal="center" vertical="center" wrapText="1"/>
    </xf>
    <xf numFmtId="31" fontId="292" fillId="23" borderId="173" xfId="0" applyNumberFormat="1" applyFont="1" applyFill="1" applyBorder="1" applyAlignment="1">
      <alignment horizontal="center" vertical="center" wrapText="1"/>
    </xf>
    <xf numFmtId="0" fontId="0" fillId="24"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429351</xdr:colOff>
      <xdr:row>29</xdr:row>
      <xdr:rowOff>148411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7429500"/>
          <a:ext cx="9428571" cy="1428571"/>
        </a:xfrm>
        <a:prstGeom prst="rect">
          <a:avLst/>
        </a:prstGeom>
      </xdr:spPr>
    </xdr:pic>
    <xdr:clientData/>
  </xdr:twoCellAnchor>
  <xdr:twoCellAnchor editAs="oneCell">
    <xdr:from>
      <xdr:col>0</xdr:col>
      <xdr:colOff>0</xdr:colOff>
      <xdr:row>30</xdr:row>
      <xdr:rowOff>0</xdr:rowOff>
    </xdr:from>
    <xdr:to>
      <xdr:col>14</xdr:col>
      <xdr:colOff>238875</xdr:colOff>
      <xdr:row>37</xdr:row>
      <xdr:rowOff>5554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892540"/>
          <a:ext cx="9238095" cy="1285714"/>
        </a:xfrm>
        <a:prstGeom prst="rect">
          <a:avLst/>
        </a:prstGeom>
      </xdr:spPr>
    </xdr:pic>
    <xdr:clientData/>
  </xdr:twoCellAnchor>
  <xdr:twoCellAnchor editAs="oneCell">
    <xdr:from>
      <xdr:col>0</xdr:col>
      <xdr:colOff>0</xdr:colOff>
      <xdr:row>37</xdr:row>
      <xdr:rowOff>0</xdr:rowOff>
    </xdr:from>
    <xdr:to>
      <xdr:col>14</xdr:col>
      <xdr:colOff>524589</xdr:colOff>
      <xdr:row>43</xdr:row>
      <xdr:rowOff>45577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172700"/>
          <a:ext cx="9523809" cy="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北京市房地产市场价值预评估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受贵公司委托，我公司对北京市房地产市场价值进行了预评估。</v>
      </c>
    </row>
    <row r="7" spans="1:2">
      <c r="A7" s="826" t="s">
        <v>560</v>
      </c>
      <c r="B7" s="827" t="str">
        <f>'预评函-1'!A7</f>
        <v>估价对象为北京市房地产，为所有。根据《国有土地使用证》[]，估价对象（分摊）出让国有建设用地使用权面积为0平方米，建筑面积为87.55平方米。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估价对象为北京市房地产,属开发建设的，该项目尚在开发建设中。根据《国有土地使用证》[]，估价对象（分摊）出让国有建设用地使用权面积为0平方米，规划建筑面积为87.55平方米。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2026年3月19日</v>
      </c>
    </row>
    <row r="13" spans="1:2">
      <c r="A13" s="826" t="s">
        <v>523</v>
      </c>
      <c r="B13" s="827"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v>
      </c>
    </row>
    <row r="16" spans="1:2">
      <c r="A16" s="826" t="s">
        <v>526</v>
      </c>
      <c r="B16" s="827" t="str">
        <f>'预评函-1'!A21</f>
        <v>——</v>
      </c>
    </row>
    <row r="17" spans="1:2">
      <c r="A17" s="826" t="s">
        <v>527</v>
      </c>
      <c r="B17" s="827" t="str">
        <f>'预评函-1'!A22</f>
        <v>——</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826" t="s">
        <v>530</v>
      </c>
      <c r="B20" s="827">
        <f ca="1">'预评函-2'!D5</f>
        <v>585.35929999999996</v>
      </c>
    </row>
    <row r="21" spans="1:2">
      <c r="A21" s="826" t="s">
        <v>531</v>
      </c>
      <c r="B21" s="827">
        <f ca="1">'预评函-2'!D7</f>
        <v>7636779</v>
      </c>
    </row>
    <row r="22" spans="1:2">
      <c r="A22" s="826" t="s">
        <v>532</v>
      </c>
      <c r="B22" s="827" t="str">
        <f ca="1">'预评函-2'!D6</f>
        <v>伍佰捌拾伍万叁仟伍佰玖拾叁元整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585.35929999999996</v>
      </c>
    </row>
    <row r="31" spans="1:2">
      <c r="A31" s="826" t="s">
        <v>570</v>
      </c>
      <c r="B31" s="827">
        <f ca="1">'预评函-2'!D15</f>
        <v>7636779</v>
      </c>
    </row>
    <row r="32" spans="1:2">
      <c r="A32" s="826" t="s">
        <v>537</v>
      </c>
      <c r="B32" s="827" t="str">
        <f ca="1">'预评函-2'!D14</f>
        <v>伍佰捌拾伍万叁仟伍佰玖拾叁元整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ht="31.2">
      <c r="A42" s="826" t="s">
        <v>584</v>
      </c>
      <c r="B42" s="827" t="str">
        <f>'预评函-3'!B2</f>
        <v>建筑面积</v>
      </c>
    </row>
    <row r="43" spans="1:2">
      <c r="A43" s="826" t="s">
        <v>585</v>
      </c>
      <c r="B43" s="827">
        <f>'预评函-3'!B4</f>
        <v>87.55</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
      </c>
    </row>
    <row r="55" spans="1:2">
      <c r="A55" s="826" t="s">
        <v>575</v>
      </c>
      <c r="B55" s="827" t="str">
        <f>'预评函-3'!A10</f>
        <v/>
      </c>
    </row>
    <row r="56" spans="1:2">
      <c r="A56" s="826" t="s">
        <v>576</v>
      </c>
      <c r="B56" s="827" t="str">
        <f>'预评函-3'!A12</f>
        <v/>
      </c>
    </row>
    <row r="57" spans="1:2" s="822" customFormat="1" ht="16.2" thickBot="1">
      <c r="A57" s="829" t="s">
        <v>593</v>
      </c>
      <c r="B57" s="830" t="str">
        <f>'预评函-3'!A6</f>
        <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83"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28" t="s">
        <v>379</v>
      </c>
      <c r="C54" s="1126" t="s">
        <v>577</v>
      </c>
    </row>
    <row r="55" spans="1:4">
      <c r="A55" s="4183"/>
      <c r="B55" s="1128" t="s">
        <v>380</v>
      </c>
      <c r="C55" s="1126" t="s">
        <v>578</v>
      </c>
    </row>
    <row r="56" spans="1:4">
      <c r="A56" s="4183"/>
      <c r="B56" s="1128" t="s">
        <v>381</v>
      </c>
      <c r="C56" s="1126" t="s">
        <v>582</v>
      </c>
    </row>
    <row r="57" spans="1:4">
      <c r="A57" s="4183"/>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84" t="s">
        <v>2488</v>
      </c>
      <c r="J2" s="4185"/>
      <c r="K2" s="4185"/>
      <c r="L2" s="4185"/>
      <c r="M2" s="4185"/>
      <c r="N2" s="4185"/>
      <c r="O2" s="4185"/>
      <c r="P2" s="4185"/>
      <c r="Q2" s="4185"/>
      <c r="R2" s="4186"/>
    </row>
    <row r="3" spans="1:18">
      <c r="A3" s="2247" t="s">
        <v>2409</v>
      </c>
      <c r="B3" s="2248">
        <f>项目基本情况!D3</f>
        <v>46100</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0.75</v>
      </c>
      <c r="D5" s="3723">
        <f>IF(ISERROR(ROUND(POWER(1+E5,A5-C5)*(POWER(1+E5,C5)-1)/(POWER(1+E5,A5)-1),3)),0,ROUND(POWER(1+E5,A5-C5)*(POWER(1+E5,C5)-1)/(POWER(1+E5,A5)-1),4))</f>
        <v>3.6600000000000001E-2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10.76</v>
      </c>
      <c r="D6" s="3723">
        <f>IF(ISERROR(ROUND(POWER(1+E6,A6-C6)*(POWER(1+E6,C6)-1)/(POWER(1+E6,A6)-1),3)),0,ROUND(POWER(1+E6,A6-C6)*(POWER(1+E6,C6)-1)/(POWER(1+E6,A6)-1),4))</f>
        <v>0.4007</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30.77</v>
      </c>
      <c r="D7" s="3723">
        <f>IF(ISERROR(ROUND(POWER(1+E7,A7-C7)*(POWER(1+E7,C7)-1)/(POWER(1+E7,A7)-1),3)),0,ROUND(POWER(1+E7,A7-C7)*(POWER(1+E7,C7)-1)/(POWER(1+E7,A7)-1),4))</f>
        <v>0.749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84" t="s">
        <v>3709</v>
      </c>
      <c r="J8" s="4185"/>
      <c r="K8" s="4185"/>
      <c r="L8" s="4185"/>
      <c r="M8" s="4185"/>
      <c r="N8" s="4185"/>
      <c r="O8" s="4185"/>
      <c r="P8" s="4185"/>
      <c r="Q8" s="4185"/>
      <c r="R8" s="4186"/>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187" t="s">
        <v>3387</v>
      </c>
      <c r="J54" s="4187"/>
      <c r="K54" s="4187"/>
      <c r="L54" s="4187"/>
      <c r="M54" s="4187"/>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188" t="s">
        <v>3395</v>
      </c>
      <c r="J62" s="4188"/>
      <c r="K62" s="4188"/>
      <c r="L62" s="4188"/>
      <c r="M62" s="4188"/>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E41" sqref="E41"/>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189" t="str">
        <f>IF(B10="北京市","北京市",C10)&amp;F10&amp;IF(结果表!G1="在建","出让国有建设用地使用权及在建建筑物",IF(结果表!G1="土地","出让国有建设用地使用权",))&amp;B9&amp;"预评估"</f>
        <v>北京市房地产市场价值预评估</v>
      </c>
      <c r="C1" s="4190"/>
      <c r="D1" s="4190"/>
      <c r="E1" s="4190"/>
      <c r="F1" s="4190"/>
      <c r="G1" s="4190"/>
      <c r="H1" s="4190"/>
      <c r="I1" s="4191"/>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北京市房地产市场价值</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2084</v>
      </c>
      <c r="B3" s="1774"/>
      <c r="C3" s="1775" t="s">
        <v>2085</v>
      </c>
      <c r="D3" s="1774">
        <v>46100</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4016</v>
      </c>
      <c r="C8" s="1790"/>
      <c r="D8" s="4192" t="s">
        <v>2091</v>
      </c>
      <c r="E8" s="1791"/>
      <c r="F8" s="1792"/>
      <c r="G8" s="1975"/>
      <c r="H8" s="1975"/>
      <c r="I8" s="1975"/>
      <c r="J8" s="1829"/>
      <c r="K8" s="1934"/>
      <c r="L8" s="1933"/>
      <c r="M8" s="1933"/>
      <c r="N8" s="1829"/>
      <c r="O8" s="1333"/>
      <c r="P8" s="1829"/>
      <c r="Q8" s="1829"/>
      <c r="R8" s="1829"/>
    </row>
    <row r="9" spans="1:30" ht="13.8" thickBot="1">
      <c r="A9" s="1793" t="s">
        <v>2092</v>
      </c>
      <c r="B9" s="1794" t="s">
        <v>4017</v>
      </c>
      <c r="C9" s="1795"/>
      <c r="D9" s="4193"/>
      <c r="E9" s="1794"/>
      <c r="F9" s="1796"/>
      <c r="G9" s="1976"/>
      <c r="H9" s="1976"/>
      <c r="I9" s="1976"/>
      <c r="J9" s="1829"/>
      <c r="K9" s="1936"/>
      <c r="L9" s="1933"/>
      <c r="M9" s="1933"/>
      <c r="N9" s="1829"/>
      <c r="O9" s="1333"/>
      <c r="P9" s="1829"/>
      <c r="Q9" s="1829"/>
      <c r="R9" s="1829"/>
    </row>
    <row r="10" spans="1:30" ht="13.8" thickTop="1">
      <c r="A10" s="1797" t="s">
        <v>2093</v>
      </c>
      <c r="B10" s="3598" t="s">
        <v>4018</v>
      </c>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t="s">
        <v>4019</v>
      </c>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69700</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64.650000000000006</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199"/>
      <c r="C16" s="4200"/>
      <c r="D16" s="4201"/>
      <c r="E16" s="1808" t="s">
        <v>2108</v>
      </c>
      <c r="F16" s="4202"/>
      <c r="G16" s="4203"/>
      <c r="H16" s="4203"/>
      <c r="I16" s="4204"/>
      <c r="J16" s="1829"/>
      <c r="K16" s="1937"/>
      <c r="L16" s="1333"/>
      <c r="M16" s="1333"/>
      <c r="N16" s="1829"/>
      <c r="O16" s="1333"/>
      <c r="P16" s="1829"/>
      <c r="Q16" s="1829"/>
      <c r="R16" s="1829"/>
    </row>
    <row r="17" spans="1:28">
      <c r="A17" s="198" t="s">
        <v>2109</v>
      </c>
      <c r="B17" s="187" t="s">
        <v>2110</v>
      </c>
      <c r="C17" s="9">
        <f>'数据-汇总表'!E3</f>
        <v>87.55</v>
      </c>
      <c r="D17" s="936" t="s">
        <v>2111</v>
      </c>
      <c r="E17" s="4205" t="s">
        <v>2112</v>
      </c>
      <c r="F17" s="4206"/>
      <c r="G17" s="4206"/>
      <c r="H17" s="4206"/>
      <c r="I17" s="4207"/>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08" t="s">
        <v>2116</v>
      </c>
      <c r="F18" s="4209"/>
      <c r="G18" s="4209"/>
      <c r="H18" s="4209"/>
      <c r="I18" s="4210"/>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195" t="s">
        <v>2120</v>
      </c>
      <c r="C20" s="4196"/>
      <c r="D20" s="4197" t="s">
        <v>2121</v>
      </c>
      <c r="E20" s="4198"/>
      <c r="F20" s="1964" t="s">
        <v>1042</v>
      </c>
      <c r="G20" s="1975"/>
      <c r="H20" s="1975"/>
      <c r="I20" s="1975"/>
      <c r="J20" s="1829"/>
      <c r="K20" s="4194"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194"/>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194"/>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12"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12"/>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12"/>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13"/>
      <c r="B30" s="187" t="s">
        <v>2132</v>
      </c>
      <c r="C30" s="4214"/>
      <c r="D30" s="4215"/>
      <c r="E30" s="1975"/>
      <c r="F30" s="1975"/>
      <c r="G30" s="1975"/>
      <c r="H30" s="1975"/>
      <c r="I30" s="1975"/>
      <c r="J30" s="1829"/>
      <c r="K30" s="1936"/>
      <c r="L30" s="1933"/>
      <c r="M30" s="1933"/>
      <c r="N30" s="1829"/>
      <c r="O30" s="1333"/>
      <c r="P30" s="1829"/>
      <c r="Q30" s="1829"/>
      <c r="R30" s="1829"/>
      <c r="S30" s="1829"/>
      <c r="T30" s="1829"/>
      <c r="U30" s="1829"/>
      <c r="V30" s="1829"/>
    </row>
    <row r="31" spans="1:28">
      <c r="A31" s="4216"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1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1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11" t="s">
        <v>2142</v>
      </c>
      <c r="T34" s="207" t="str">
        <f>NUMBERSTRING(7-K34,1)&amp;"通"</f>
        <v>七通</v>
      </c>
      <c r="U34" s="1829"/>
      <c r="V34" s="1829"/>
    </row>
    <row r="35" spans="1:30">
      <c r="A35" s="1820"/>
      <c r="B35" s="4211" t="s">
        <v>2143</v>
      </c>
      <c r="C35" s="4211"/>
      <c r="D35" s="4211"/>
      <c r="E35" s="421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11"/>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182</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2831</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87.55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87.55</v>
      </c>
      <c r="H5" s="6">
        <f t="shared" ref="H5:AT5" si="0">SUM(H13:H656)</f>
        <v>87.55</v>
      </c>
      <c r="I5" s="6">
        <f t="shared" si="0"/>
        <v>87.55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87.55</v>
      </c>
      <c r="BA5" s="466">
        <f t="shared" si="1"/>
        <v>87.55</v>
      </c>
      <c r="BB5" s="466">
        <f t="shared" si="1"/>
        <v>87.55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87.55</v>
      </c>
      <c r="H13" s="11">
        <f>SUMIF(I$12:AB$12,"总值",I13:AB13)</f>
        <v>87.55</v>
      </c>
      <c r="I13" s="1142">
        <v>87.55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87.55</v>
      </c>
      <c r="BA13" s="9">
        <f>SUM(BB13:BK13)</f>
        <v>87.55</v>
      </c>
      <c r="BB13" s="9">
        <f>IF($D13="是",I13-J13,0)</f>
        <v>87.55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44" sqref="C44"/>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27" t="s">
        <v>1116</v>
      </c>
      <c r="B2" s="4227"/>
      <c r="C2" s="4227"/>
      <c r="D2" s="548" t="s">
        <v>1092</v>
      </c>
      <c r="E2" s="1199" t="s">
        <v>1093</v>
      </c>
      <c r="F2" s="1972"/>
      <c r="G2" s="1966"/>
      <c r="H2" s="1967"/>
      <c r="I2" s="1738" t="s">
        <v>1117</v>
      </c>
      <c r="J2" s="1972"/>
      <c r="K2" s="1972"/>
      <c r="L2" s="1972"/>
      <c r="M2" s="1972"/>
      <c r="N2" s="1973"/>
      <c r="O2" s="1972"/>
      <c r="P2" s="1972"/>
    </row>
    <row r="3" spans="1:16" ht="15" thickBot="1">
      <c r="A3" s="4228" t="s">
        <v>1090</v>
      </c>
      <c r="B3" s="4228"/>
      <c r="C3" s="4228"/>
      <c r="D3" s="4025">
        <f>'数据-基础表'!AY6</f>
        <v>0</v>
      </c>
      <c r="E3" s="4025">
        <f>'数据-基础表'!AZ5</f>
        <v>87.55</v>
      </c>
      <c r="F3" s="1972"/>
      <c r="G3" s="24"/>
      <c r="H3" s="25" t="s">
        <v>1091</v>
      </c>
      <c r="I3" s="2683" t="e">
        <f>ROUND('数据-基础表'!B3/'数据-基础表'!A3,2)</f>
        <v>#DIV/0!</v>
      </c>
      <c r="J3" s="1972"/>
      <c r="K3" s="1972"/>
      <c r="L3" s="1972"/>
      <c r="M3" s="1972"/>
      <c r="N3" s="1973"/>
      <c r="O3" s="1972"/>
      <c r="P3" s="1972"/>
    </row>
    <row r="4" spans="1:16" ht="14.4">
      <c r="A4" s="4229"/>
      <c r="B4" s="4230"/>
      <c r="C4" s="4231"/>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32" t="s">
        <v>1095</v>
      </c>
      <c r="C5" s="4232"/>
      <c r="D5" s="4007">
        <f>ROUND($D$3*E5/$E$3,2)</f>
        <v>0</v>
      </c>
      <c r="E5" s="3898">
        <f>SUMIF('数据-基础表'!$11:$11,"住宅",'数据-基础表'!$5:$5)</f>
        <v>87.55</v>
      </c>
      <c r="F5" s="1972"/>
      <c r="G5" s="24"/>
      <c r="H5" s="25" t="s">
        <v>1091</v>
      </c>
      <c r="I5" s="2683" t="e">
        <f>ROUND(E31/D31,2)</f>
        <v>#DIV/0!</v>
      </c>
      <c r="J5" s="1972"/>
      <c r="K5" s="1972"/>
      <c r="L5" s="1972"/>
      <c r="M5" s="1972"/>
      <c r="N5" s="1972"/>
      <c r="O5" s="1972"/>
      <c r="P5" s="1972"/>
    </row>
    <row r="6" spans="1:16" ht="15" thickBot="1">
      <c r="A6" s="1204"/>
      <c r="B6" s="4232" t="s">
        <v>1096</v>
      </c>
      <c r="C6" s="4232"/>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24"/>
      <c r="B7" s="4225"/>
      <c r="C7" s="4226"/>
      <c r="D7" s="1201" t="s">
        <v>1092</v>
      </c>
      <c r="E7" s="1205" t="s">
        <v>1099</v>
      </c>
      <c r="F7" s="1972"/>
      <c r="G7" s="1969" t="s">
        <v>1100</v>
      </c>
      <c r="H7" s="1970"/>
      <c r="I7" s="2685">
        <v>2.5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87.55</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87.55</v>
      </c>
      <c r="F16" s="1972"/>
      <c r="G16" s="1972"/>
      <c r="H16" s="1208" t="s">
        <v>1120</v>
      </c>
      <c r="I16" s="1209"/>
      <c r="J16" s="796"/>
      <c r="K16" s="4221" t="s">
        <v>1120</v>
      </c>
      <c r="L16" s="4222"/>
      <c r="M16" s="4222"/>
      <c r="N16" s="4222"/>
      <c r="O16" s="4222"/>
      <c r="P16" s="4223"/>
    </row>
    <row r="17" spans="1:19" ht="14.4">
      <c r="A17" s="1210" t="s">
        <v>1121</v>
      </c>
      <c r="B17" s="1211" t="s">
        <v>1122</v>
      </c>
      <c r="C17" s="1212" t="s">
        <v>1123</v>
      </c>
      <c r="D17" s="1213" t="s">
        <v>1111</v>
      </c>
      <c r="E17" s="1214" t="s">
        <v>1112</v>
      </c>
      <c r="F17" s="1215"/>
      <c r="G17" s="1216"/>
      <c r="H17" s="1217" t="s">
        <v>1124</v>
      </c>
      <c r="I17" s="1218" t="s">
        <v>1109</v>
      </c>
      <c r="J17" s="796"/>
      <c r="K17" s="4218" t="s">
        <v>1125</v>
      </c>
      <c r="L17" s="4219"/>
      <c r="M17" s="4220"/>
      <c r="N17" s="4218" t="s">
        <v>1126</v>
      </c>
      <c r="O17" s="4219"/>
      <c r="P17" s="4220"/>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3962</v>
      </c>
      <c r="D19" s="4007">
        <f>ROUND($D$3*E19/$E$3,2)</f>
        <v>0</v>
      </c>
      <c r="E19" s="4007">
        <f t="shared" ref="E19:E26" si="1">SUM(F19:G19)</f>
        <v>87.55</v>
      </c>
      <c r="F19" s="4008">
        <f>'数据-基础表'!I13</f>
        <v>87.55</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87.55</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87.55</v>
      </c>
      <c r="F27" s="173">
        <f>IF(SUM(F19:F26)=E8,SUM(F19:F26),"地上面积有误")</f>
        <v>87.55</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87.55</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87.55</v>
      </c>
      <c r="F31" s="4019">
        <f>F27+F30</f>
        <v>87.55</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87.55</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P23" sqref="P23"/>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46100</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69700</v>
      </c>
      <c r="F6" s="3476">
        <f>SUMIF(项目基本情况!C$12:I$12,C6,项目基本情况!C$15:I$15)</f>
        <v>64.650000000000006</v>
      </c>
      <c r="G6" s="3477">
        <f t="shared" ref="G6:G13" si="0">IF(ISERROR(ROUND(POWER(1+H6,D6-F6)*(POWER(1+H6,F6)-1)/(POWER(1+H6,D6)-1),4)),0,ROUND(POWER(1+H6,D6-F6)*(POWER(1+H6,F6)-1)/(POWER(1+H6,D6)-1),4))</f>
        <v>0</v>
      </c>
      <c r="H6" s="3478"/>
      <c r="I6" s="3478">
        <v>0.04</v>
      </c>
      <c r="J6" s="3479"/>
      <c r="K6" s="4027">
        <f>SUMIF('数据-汇总表'!C$19:C$33,A6,'数据-汇总表'!E$19:E$33)</f>
        <v>87.55</v>
      </c>
      <c r="L6" s="4028">
        <v>3500</v>
      </c>
      <c r="M6" s="4029">
        <f t="shared" ref="M6:M14" si="1">ROUND(K6*L6/10000,0)</f>
        <v>31</v>
      </c>
      <c r="N6" s="3466">
        <v>0.7</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106.9</v>
      </c>
      <c r="V6" s="36">
        <v>1.4999999999999999E-2</v>
      </c>
      <c r="W6" s="36">
        <v>0.15</v>
      </c>
      <c r="X6" s="712"/>
      <c r="Y6" s="37">
        <f>N6</f>
        <v>0.7</v>
      </c>
      <c r="Z6" s="4053"/>
      <c r="AA6" s="35"/>
      <c r="AB6" s="35"/>
      <c r="AC6" s="712"/>
      <c r="AD6" s="38"/>
      <c r="AE6" s="713">
        <f ca="1">IF(AN6="",0,SUMIF(INDIRECT("'"&amp;AN6&amp;"'"&amp;"!E:E"),$AE$5,INDIRECT("'"&amp;AN6&amp;"'"&amp;"!F:F")))</f>
        <v>64.650000000000006</v>
      </c>
      <c r="AF6" s="4055"/>
      <c r="AG6" s="52">
        <f>IF(AF6="",0,AE6-AF6)</f>
        <v>0</v>
      </c>
      <c r="AH6" s="4048">
        <f>'数据-汇总表'!F19</f>
        <v>87.55</v>
      </c>
      <c r="AI6" s="4056">
        <v>12</v>
      </c>
      <c r="AJ6" s="4055"/>
      <c r="AK6" s="39">
        <v>2E-3</v>
      </c>
      <c r="AL6" s="40">
        <v>1E-3</v>
      </c>
      <c r="AM6" s="41">
        <v>0.01</v>
      </c>
      <c r="AN6" s="1261" t="s">
        <v>3961</v>
      </c>
      <c r="AO6" s="4007">
        <f ca="1">SUMIF(INDIRECT("'"&amp;AN6&amp;"'"&amp;"!A:A"),"总价",INDIRECT("'"&amp;AN6&amp;"'"&amp;"!B:B"))</f>
        <v>314.70049999999998</v>
      </c>
      <c r="AP6" s="4007">
        <f>IF(C6="住宅",K6*L6,0)</f>
        <v>306425</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87.55</v>
      </c>
      <c r="L16" s="4032">
        <f>ROUND(M16*10000/SUM(K6:K14),0)</f>
        <v>3541</v>
      </c>
      <c r="M16" s="4032">
        <f>SUM(M6:M14)</f>
        <v>31</v>
      </c>
      <c r="N16" s="3472">
        <f>ROUND(SUMPRODUCT(M6:M14,N6:N14)/M16,3)</f>
        <v>0.7</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ROUND(1-(2026-1990)/60,2)</f>
        <v>0.4</v>
      </c>
      <c r="O18" s="1982">
        <v>0.3</v>
      </c>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1</v>
      </c>
      <c r="C20" s="2092" t="s">
        <v>2213</v>
      </c>
      <c r="D20" s="1985"/>
      <c r="E20" s="1972"/>
      <c r="F20" s="1972"/>
      <c r="G20" s="1972"/>
      <c r="H20" s="1972"/>
      <c r="I20" s="1972"/>
      <c r="J20" s="1972"/>
      <c r="K20" s="1983"/>
      <c r="L20" s="1983"/>
      <c r="M20" s="1982"/>
      <c r="N20" s="1982">
        <v>0.75</v>
      </c>
      <c r="O20" s="1982">
        <f>1-O18</f>
        <v>0.7</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1</v>
      </c>
      <c r="C22" s="1972"/>
      <c r="D22" s="1985"/>
      <c r="E22" s="1972"/>
      <c r="F22" s="1972"/>
      <c r="G22" s="1972"/>
      <c r="H22" s="1972"/>
      <c r="I22" s="1972"/>
      <c r="J22" s="1972"/>
      <c r="K22" s="1983"/>
      <c r="L22" s="1983"/>
      <c r="M22" s="1982"/>
      <c r="N22" s="1982">
        <f>N18*O18+N20*O20</f>
        <v>0.64499999999999991</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f ca="1">结果表!G20</f>
        <v>66860</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v>26492</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4">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0.02</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v>0.02</v>
      </c>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v>0.02</v>
      </c>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33" t="s">
        <v>2200</v>
      </c>
      <c r="B1" s="4234"/>
      <c r="C1" s="4234"/>
      <c r="D1" s="4234"/>
      <c r="E1" s="4234"/>
      <c r="F1" s="4234"/>
      <c r="G1" s="4234"/>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87.55</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46100</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585</v>
      </c>
      <c r="C5" s="1884">
        <f ca="1">ROUND(B5*10000/$B$1,0)</f>
        <v>66819</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87.55</v>
      </c>
      <c r="C14" s="3840"/>
      <c r="D14" s="3840">
        <f ca="1">结果表!G19</f>
        <v>585</v>
      </c>
      <c r="E14" s="3840">
        <f ca="1">结果表!G20</f>
        <v>66860</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8" sqref="C8:C9"/>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309" t="str">
        <f>项目基本情况!S2</f>
        <v>北京市房地产</v>
      </c>
      <c r="B2" s="4310"/>
      <c r="C2" s="4310"/>
      <c r="D2" s="4310"/>
      <c r="E2" s="4310"/>
      <c r="F2" s="4310"/>
      <c r="G2" s="4310"/>
      <c r="H2" s="4310"/>
      <c r="I2" s="4311"/>
    </row>
    <row r="3" spans="1:12" ht="13.2">
      <c r="A3" s="4313" t="s">
        <v>1247</v>
      </c>
      <c r="B3" s="4314"/>
      <c r="C3" s="4314"/>
      <c r="D3" s="4314"/>
      <c r="E3" s="4314"/>
      <c r="F3" s="4314"/>
      <c r="G3" s="4314"/>
      <c r="H3" s="4314"/>
      <c r="I3" s="4314"/>
    </row>
    <row r="4" spans="1:12" ht="14.4">
      <c r="A4" s="1292" t="s">
        <v>1248</v>
      </c>
      <c r="B4" s="1293" t="s">
        <v>1249</v>
      </c>
      <c r="C4" s="3756" t="s">
        <v>3966</v>
      </c>
      <c r="D4" s="3756" t="s">
        <v>4011</v>
      </c>
      <c r="E4" s="4318" t="s">
        <v>1250</v>
      </c>
      <c r="F4" s="4319"/>
      <c r="G4" s="4319"/>
      <c r="H4" s="4319"/>
      <c r="I4" s="43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52" t="s">
        <v>1251</v>
      </c>
      <c r="B5" s="4312">
        <v>25</v>
      </c>
      <c r="C5" s="4315">
        <v>8</v>
      </c>
      <c r="D5" s="4303">
        <f>10-C5</f>
        <v>2</v>
      </c>
      <c r="E5" s="49" t="s">
        <v>1252</v>
      </c>
      <c r="F5" s="1294"/>
      <c r="G5" s="1294"/>
      <c r="H5" s="1294"/>
      <c r="I5" s="961"/>
    </row>
    <row r="6" spans="1:12" ht="13.2">
      <c r="A6" s="4252"/>
      <c r="B6" s="4312"/>
      <c r="C6" s="4317"/>
      <c r="D6" s="4303"/>
      <c r="E6" s="49" t="s">
        <v>1253</v>
      </c>
      <c r="F6" s="1294"/>
      <c r="G6" s="1294"/>
      <c r="H6" s="1294"/>
      <c r="I6" s="961"/>
    </row>
    <row r="7" spans="1:12" ht="13.2">
      <c r="A7" s="4252"/>
      <c r="B7" s="4312"/>
      <c r="C7" s="4316"/>
      <c r="D7" s="4303"/>
      <c r="E7" s="49" t="s">
        <v>1254</v>
      </c>
      <c r="F7" s="1294"/>
      <c r="G7" s="1294"/>
      <c r="H7" s="1294"/>
      <c r="I7" s="961"/>
    </row>
    <row r="8" spans="1:12" ht="13.2">
      <c r="A8" s="4252" t="s">
        <v>1255</v>
      </c>
      <c r="B8" s="4312">
        <v>15</v>
      </c>
      <c r="C8" s="4315"/>
      <c r="D8" s="4303"/>
      <c r="E8" s="49" t="s">
        <v>1256</v>
      </c>
      <c r="F8" s="1294"/>
      <c r="G8" s="1294"/>
      <c r="H8" s="1294"/>
      <c r="I8" s="961"/>
    </row>
    <row r="9" spans="1:12" ht="13.2">
      <c r="A9" s="4252"/>
      <c r="B9" s="4312"/>
      <c r="C9" s="4316"/>
      <c r="D9" s="4303"/>
      <c r="E9" s="49" t="s">
        <v>1257</v>
      </c>
      <c r="F9" s="1294"/>
      <c r="G9" s="1294"/>
      <c r="H9" s="1294"/>
      <c r="I9" s="961"/>
    </row>
    <row r="10" spans="1:12" ht="13.2">
      <c r="A10" s="4252" t="s">
        <v>1258</v>
      </c>
      <c r="B10" s="4312">
        <v>15</v>
      </c>
      <c r="C10" s="4315"/>
      <c r="D10" s="4303"/>
      <c r="E10" s="49" t="s">
        <v>1259</v>
      </c>
      <c r="F10" s="1294"/>
      <c r="G10" s="1294"/>
      <c r="H10" s="1294"/>
      <c r="I10" s="961"/>
    </row>
    <row r="11" spans="1:12" ht="13.2">
      <c r="A11" s="4252"/>
      <c r="B11" s="4312"/>
      <c r="C11" s="4316"/>
      <c r="D11" s="4303"/>
      <c r="E11" s="49" t="s">
        <v>1260</v>
      </c>
      <c r="F11" s="1294"/>
      <c r="G11" s="1294"/>
      <c r="H11" s="1294"/>
      <c r="I11" s="961"/>
    </row>
    <row r="12" spans="1:12" ht="13.2">
      <c r="A12" s="4252" t="s">
        <v>1261</v>
      </c>
      <c r="B12" s="4312">
        <v>15</v>
      </c>
      <c r="C12" s="4315"/>
      <c r="D12" s="4303"/>
      <c r="E12" s="49" t="s">
        <v>1262</v>
      </c>
      <c r="F12" s="1294"/>
      <c r="G12" s="1294"/>
      <c r="H12" s="1294"/>
      <c r="I12" s="961"/>
    </row>
    <row r="13" spans="1:12" ht="13.2">
      <c r="A13" s="4252"/>
      <c r="B13" s="4312"/>
      <c r="C13" s="4316"/>
      <c r="D13" s="4303"/>
      <c r="E13" s="49" t="s">
        <v>1263</v>
      </c>
      <c r="F13" s="1294"/>
      <c r="G13" s="1294"/>
      <c r="H13" s="1294"/>
      <c r="I13" s="961"/>
    </row>
    <row r="14" spans="1:12" ht="13.2">
      <c r="A14" s="4252" t="s">
        <v>1264</v>
      </c>
      <c r="B14" s="4312">
        <v>30</v>
      </c>
      <c r="C14" s="4315"/>
      <c r="D14" s="4303"/>
      <c r="E14" s="49" t="s">
        <v>1265</v>
      </c>
      <c r="F14" s="1294"/>
      <c r="G14" s="1294"/>
      <c r="H14" s="1294"/>
      <c r="I14" s="961"/>
    </row>
    <row r="15" spans="1:12" ht="13.2">
      <c r="A15" s="4252"/>
      <c r="B15" s="4312"/>
      <c r="C15" s="4317"/>
      <c r="D15" s="4303"/>
      <c r="E15" s="49" t="s">
        <v>1266</v>
      </c>
      <c r="F15" s="1294"/>
      <c r="G15" s="1294"/>
      <c r="H15" s="1294"/>
      <c r="I15" s="961"/>
    </row>
    <row r="16" spans="1:12" ht="13.2">
      <c r="A16" s="4252"/>
      <c r="B16" s="4312"/>
      <c r="C16" s="4316"/>
      <c r="D16" s="4303"/>
      <c r="E16" s="49" t="s">
        <v>1267</v>
      </c>
      <c r="F16" s="1294"/>
      <c r="G16" s="1294"/>
      <c r="H16" s="1294"/>
      <c r="I16" s="961"/>
    </row>
    <row r="17" spans="1:36" ht="14.4">
      <c r="A17" s="1295" t="s">
        <v>1268</v>
      </c>
      <c r="B17" s="3755"/>
      <c r="C17" s="3845">
        <f>SUM(C5:C16)</f>
        <v>8</v>
      </c>
      <c r="D17" s="3845">
        <f>SUM(D5:D16)</f>
        <v>2</v>
      </c>
      <c r="E17" s="47"/>
      <c r="F17" s="47"/>
      <c r="G17" s="47"/>
      <c r="H17" s="47"/>
      <c r="I17" s="47"/>
      <c r="K17" s="187"/>
      <c r="L17" s="187" t="s">
        <v>1269</v>
      </c>
      <c r="M17" s="187" t="s">
        <v>1270</v>
      </c>
    </row>
    <row r="18" spans="1:36" ht="31.95" customHeight="1" thickBot="1">
      <c r="A18" s="1296" t="s">
        <v>1271</v>
      </c>
      <c r="B18" s="1219"/>
      <c r="C18" s="3846">
        <f>ROUND(C17/SUM(C17:D17),2)</f>
        <v>0.8</v>
      </c>
      <c r="D18" s="3846">
        <f>1-C18</f>
        <v>0.19999999999999996</v>
      </c>
      <c r="E18" s="4326" t="s">
        <v>2045</v>
      </c>
      <c r="F18" s="4327"/>
      <c r="G18" s="4327"/>
      <c r="H18" s="4327"/>
      <c r="I18" s="4327"/>
      <c r="K18" s="187" t="s">
        <v>1272</v>
      </c>
      <c r="L18" s="2768">
        <f>IF(C1="",'数据-汇总表'!E3,SUMIF(项目类型,C1,'数据-汇总表'!E17:E26)+SUMIF(项目类型,C1,'数据-汇总表'!I17:I26))</f>
        <v>87.55</v>
      </c>
      <c r="M18" s="2768">
        <f>IF(C1="",'数据-汇总表'!E3,SUMIF(项目类型,C1,'数据-汇总表'!E17:E26))</f>
        <v>87.55</v>
      </c>
    </row>
    <row r="19" spans="1:36" ht="14.4">
      <c r="A19" s="1297" t="s">
        <v>1273</v>
      </c>
      <c r="B19" s="1298" t="s">
        <v>1274</v>
      </c>
      <c r="C19" s="3847">
        <f ca="1">SUMIF(INDIRECT("'"&amp;C4&amp;"'"&amp;"!A:A"),结果表!B19,INDIRECT("'"&amp;C4&amp;"'"&amp;"!B:B"))</f>
        <v>616.22069999999997</v>
      </c>
      <c r="D19" s="3848">
        <f ca="1">SUMIF(INDIRECT("'"&amp;D4&amp;"'"&amp;"!A:A"),结果表!B19,INDIRECT("'"&amp;D4&amp;"'"&amp;"!B:B"))</f>
        <v>461.90839999999997</v>
      </c>
      <c r="E19" s="1297" t="s">
        <v>1275</v>
      </c>
      <c r="F19" s="1298" t="s">
        <v>1274</v>
      </c>
      <c r="G19" s="3854">
        <f ca="1">ROUND(C19*$C$18+D19*$D$18,0)</f>
        <v>585</v>
      </c>
      <c r="H19" s="1299" t="s">
        <v>1276</v>
      </c>
      <c r="I19" s="47">
        <f ca="1">ROUND(C19*$C$18+D19*$D$18,4)</f>
        <v>585.35820000000001</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70385</v>
      </c>
      <c r="D20" s="3850">
        <f ca="1">SUMIF(INDIRECT("'"&amp;D4&amp;"'"&amp;"!A:A"),结果表!B20,INDIRECT("'"&amp;D4&amp;"'"&amp;"!B:B"))</f>
        <v>52759</v>
      </c>
      <c r="E20" s="1300"/>
      <c r="F20" s="25" t="s">
        <v>1278</v>
      </c>
      <c r="G20" s="3855">
        <f ca="1">ROUND(C20*$C$18+D20*$D$18,0)</f>
        <v>66860</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0.33407554398231332</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346" t="s">
        <v>1282</v>
      </c>
      <c r="B24" s="1298" t="s">
        <v>1274</v>
      </c>
      <c r="C24" s="3854">
        <f>IF(B30=0,0,D30)</f>
        <v>0</v>
      </c>
      <c r="D24" s="3857"/>
      <c r="E24" s="47"/>
      <c r="F24" s="47"/>
      <c r="G24" s="47"/>
      <c r="H24" s="47"/>
      <c r="I24" s="47"/>
    </row>
    <row r="25" spans="1:36" ht="14.4">
      <c r="A25" s="4347"/>
      <c r="B25" s="3573" t="s">
        <v>3668</v>
      </c>
      <c r="C25" s="3858">
        <f>IF(B30=0,0,C30)</f>
        <v>0</v>
      </c>
      <c r="D25" s="3859"/>
      <c r="E25" s="47"/>
      <c r="F25" s="47">
        <v>26492</v>
      </c>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66860</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304" t="s">
        <v>1295</v>
      </c>
      <c r="B36" s="1315" t="s">
        <v>1296</v>
      </c>
      <c r="C36" s="3868"/>
      <c r="D36" s="1316"/>
      <c r="E36" s="1240"/>
      <c r="F36" s="1317"/>
      <c r="G36" s="47"/>
      <c r="H36" s="47"/>
      <c r="I36" s="47"/>
    </row>
    <row r="37" spans="1:19" ht="15" thickBot="1">
      <c r="A37" s="4305"/>
      <c r="B37" s="1228" t="s">
        <v>1297</v>
      </c>
      <c r="C37" s="3869"/>
      <c r="D37" s="796"/>
      <c r="E37" s="796"/>
      <c r="F37" s="1317"/>
      <c r="G37" s="47"/>
      <c r="H37" s="47"/>
      <c r="I37" s="47"/>
    </row>
    <row r="38" spans="1:19" ht="15" thickBot="1">
      <c r="A38" s="4306"/>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343" t="s">
        <v>1309</v>
      </c>
      <c r="B45" s="4344"/>
      <c r="C45" s="4345"/>
      <c r="D45" s="56">
        <f ca="1">ROUND(H101*F45,0)</f>
        <v>585</v>
      </c>
      <c r="E45" s="57" t="s">
        <v>1310</v>
      </c>
      <c r="F45" s="58">
        <v>1</v>
      </c>
      <c r="G45" s="59" t="s">
        <v>1311</v>
      </c>
      <c r="H45" s="47"/>
      <c r="I45" s="47"/>
      <c r="J45" s="4237" t="s">
        <v>1312</v>
      </c>
      <c r="K45" s="4237"/>
      <c r="L45" s="4237"/>
      <c r="M45" s="4237"/>
      <c r="N45" s="4237"/>
      <c r="O45" s="4237"/>
    </row>
    <row r="46" spans="1:19" ht="14.25" customHeight="1">
      <c r="A46" s="4340" t="s">
        <v>1313</v>
      </c>
      <c r="B46" s="4341"/>
      <c r="C46" s="4341"/>
      <c r="D46" s="4341"/>
      <c r="E46" s="4341"/>
      <c r="F46" s="4341"/>
      <c r="G46" s="4342"/>
      <c r="H46" s="1331"/>
      <c r="I46" s="60"/>
      <c r="J46" s="1892">
        <v>1</v>
      </c>
      <c r="K46" s="4238" t="s">
        <v>1314</v>
      </c>
      <c r="L46" s="4238"/>
      <c r="M46" s="4239"/>
      <c r="N46" s="4239"/>
      <c r="O46" s="4239"/>
    </row>
    <row r="47" spans="1:19" ht="12" customHeight="1">
      <c r="A47" s="61" t="s">
        <v>1315</v>
      </c>
      <c r="B47" s="62"/>
      <c r="C47" s="63"/>
      <c r="D47" s="756" t="s">
        <v>1316</v>
      </c>
      <c r="E47" s="187" t="s">
        <v>1317</v>
      </c>
      <c r="F47" s="64" t="s">
        <v>1318</v>
      </c>
      <c r="G47" s="1907" t="s">
        <v>1319</v>
      </c>
      <c r="H47" s="1908"/>
      <c r="I47" s="60"/>
      <c r="J47" s="1892">
        <v>2</v>
      </c>
      <c r="K47" s="4238" t="s">
        <v>1320</v>
      </c>
      <c r="L47" s="4238"/>
      <c r="M47" s="4240">
        <f>'数据-取费表'!B2</f>
        <v>46100</v>
      </c>
      <c r="N47" s="4240"/>
      <c r="O47" s="4240"/>
    </row>
    <row r="48" spans="1:19" ht="26.4">
      <c r="A48" s="4307" t="s">
        <v>1321</v>
      </c>
      <c r="B48" s="4308"/>
      <c r="C48" s="4308"/>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238" t="s">
        <v>1323</v>
      </c>
      <c r="L48" s="4238"/>
      <c r="M48" s="4241">
        <f ca="1">H101</f>
        <v>585.35929999999996</v>
      </c>
      <c r="N48" s="4241"/>
      <c r="O48" s="4241"/>
      <c r="R48" s="3589" t="s">
        <v>3682</v>
      </c>
      <c r="S48" s="3590"/>
    </row>
    <row r="49" spans="1:35" ht="25.5" customHeight="1">
      <c r="A49" s="3749" t="s">
        <v>1324</v>
      </c>
      <c r="B49" s="4290" t="s">
        <v>1325</v>
      </c>
      <c r="C49" s="4290"/>
      <c r="D49" s="3876">
        <v>0</v>
      </c>
      <c r="E49" s="208" t="s">
        <v>1326</v>
      </c>
      <c r="F49" s="3743" t="s">
        <v>26</v>
      </c>
      <c r="G49" s="4273"/>
      <c r="H49" s="3584" t="s">
        <v>2048</v>
      </c>
      <c r="I49" s="3585"/>
      <c r="J49" s="1892">
        <v>4</v>
      </c>
      <c r="K49" s="4238" t="str">
        <f>IF(项目基本情况!E8="房地产抵押价值","房地产抵押价值","抵押担保权已注销时的房地产抵押价值")</f>
        <v>抵押担保权已注销时的房地产抵押价值</v>
      </c>
      <c r="L49" s="4238"/>
      <c r="M49" s="4241" t="str">
        <f>IF(项目基本情况!E8="房地产抵押价值",H107,H109)</f>
        <v>——</v>
      </c>
      <c r="N49" s="4241"/>
      <c r="O49" s="4241"/>
      <c r="R49" s="3591" t="s">
        <v>3683</v>
      </c>
      <c r="S49" s="3589" t="s">
        <v>3684</v>
      </c>
    </row>
    <row r="50" spans="1:35" ht="25.5" customHeight="1">
      <c r="A50" s="3750"/>
      <c r="B50" s="4290" t="s">
        <v>1327</v>
      </c>
      <c r="C50" s="4290"/>
      <c r="D50" s="3877"/>
      <c r="E50" s="215"/>
      <c r="F50" s="3743"/>
      <c r="G50" s="4274"/>
      <c r="H50" s="1339" t="s">
        <v>2049</v>
      </c>
      <c r="I50" s="3585"/>
      <c r="J50" s="4237" t="s">
        <v>1328</v>
      </c>
      <c r="K50" s="4237"/>
      <c r="L50" s="4237"/>
      <c r="M50" s="4237"/>
      <c r="N50" s="4237"/>
      <c r="O50" s="4237"/>
      <c r="R50" s="3591" t="s">
        <v>3685</v>
      </c>
      <c r="S50" s="3589" t="s">
        <v>3686</v>
      </c>
    </row>
    <row r="51" spans="1:35" ht="20.399999999999999" customHeight="1">
      <c r="A51" s="3751"/>
      <c r="B51" s="4290" t="s">
        <v>1329</v>
      </c>
      <c r="C51" s="4290"/>
      <c r="D51" s="741"/>
      <c r="E51" s="211"/>
      <c r="F51" s="3743"/>
      <c r="G51" s="4275"/>
      <c r="H51" s="1339" t="s">
        <v>2050</v>
      </c>
      <c r="I51" s="3585"/>
      <c r="J51" s="1893" t="s">
        <v>1330</v>
      </c>
      <c r="K51" s="4238" t="s">
        <v>1331</v>
      </c>
      <c r="L51" s="4238"/>
      <c r="M51" s="1893" t="s">
        <v>1332</v>
      </c>
      <c r="N51" s="1893" t="s">
        <v>1333</v>
      </c>
      <c r="O51" s="1893" t="s">
        <v>1334</v>
      </c>
      <c r="R51" s="3591" t="s">
        <v>3687</v>
      </c>
      <c r="S51" s="3590" t="s">
        <v>3688</v>
      </c>
    </row>
    <row r="52" spans="1:35" ht="24" customHeight="1">
      <c r="A52" s="1744" t="s">
        <v>1335</v>
      </c>
      <c r="B52" s="4290" t="s">
        <v>1336</v>
      </c>
      <c r="C52" s="4290"/>
      <c r="D52" s="741">
        <f ca="1">ROUND(D45*F52/(1+F52),0)</f>
        <v>17</v>
      </c>
      <c r="E52" s="936" t="s">
        <v>1337</v>
      </c>
      <c r="F52" s="1911">
        <v>0.03</v>
      </c>
      <c r="G52" s="931" t="s">
        <v>3731</v>
      </c>
      <c r="H52" s="1905"/>
      <c r="I52" s="1332"/>
      <c r="J52" s="1892">
        <v>1</v>
      </c>
      <c r="K52" s="4268" t="s">
        <v>1338</v>
      </c>
      <c r="L52" s="4268"/>
      <c r="M52" s="3879">
        <f>D48</f>
        <v>0</v>
      </c>
      <c r="N52" s="1892" t="str">
        <f>E48</f>
        <v>销售额×税（费）率</v>
      </c>
      <c r="O52" s="3779">
        <f>F48</f>
        <v>0</v>
      </c>
      <c r="R52" s="3589" t="s">
        <v>3689</v>
      </c>
      <c r="S52" s="3589" t="s">
        <v>3693</v>
      </c>
    </row>
    <row r="53" spans="1:35" ht="12" customHeight="1">
      <c r="A53" s="1744" t="s">
        <v>1339</v>
      </c>
      <c r="B53" s="4291" t="s">
        <v>2205</v>
      </c>
      <c r="C53" s="4292"/>
      <c r="D53" s="741">
        <f ca="1">IF(G53="2016年5月1日之前项目",ROUND(D45*F53/(1+F53),0),H63)</f>
        <v>48</v>
      </c>
      <c r="E53" s="936" t="str">
        <f>IF(G53="2016年5月1日之前项目","全额计税","进销项计算")</f>
        <v>进销项计算</v>
      </c>
      <c r="F53" s="1911">
        <f>IF(G53="2016年5月1日之前项目",5%,9%)</f>
        <v>0.09</v>
      </c>
      <c r="G53" s="3838"/>
      <c r="H53" s="1905"/>
      <c r="I53" s="1332"/>
      <c r="J53" s="1892">
        <v>2</v>
      </c>
      <c r="K53" s="4268" t="s">
        <v>1340</v>
      </c>
      <c r="L53" s="4268"/>
      <c r="M53" s="3879">
        <f t="shared" ref="M53:O54" ca="1" si="0">D55</f>
        <v>0</v>
      </c>
      <c r="N53" s="1892" t="str">
        <f t="shared" si="0"/>
        <v>销售额×税（费）率</v>
      </c>
      <c r="O53" s="3779" t="str">
        <f t="shared" si="0"/>
        <v>免征</v>
      </c>
      <c r="R53" s="3589" t="s">
        <v>3690</v>
      </c>
      <c r="S53" s="3590" t="s">
        <v>3697</v>
      </c>
    </row>
    <row r="54" spans="1:35" ht="12" customHeight="1">
      <c r="A54" s="1744" t="s">
        <v>1341</v>
      </c>
      <c r="B54" s="4291" t="s">
        <v>2206</v>
      </c>
      <c r="C54" s="4292"/>
      <c r="D54" s="741">
        <f ca="1">IF(G54="2016年5月1日之前项目",C68,H63)</f>
        <v>48</v>
      </c>
      <c r="E54" s="3763" t="str">
        <f>IF(G54="2016年5月1日之前项目","差额计税","进销项计算")</f>
        <v>进销项计算</v>
      </c>
      <c r="F54" s="1911">
        <f>IF(G54="2016年5月1日之前项目",5%,9%)</f>
        <v>0.09</v>
      </c>
      <c r="G54" s="3838"/>
      <c r="H54" s="1913"/>
      <c r="I54" s="1332"/>
      <c r="J54" s="1892">
        <v>3</v>
      </c>
      <c r="K54" s="4268" t="s">
        <v>1342</v>
      </c>
      <c r="L54" s="4268"/>
      <c r="M54" s="3879" t="e">
        <f t="shared" ca="1" si="0"/>
        <v>#VALUE!</v>
      </c>
      <c r="N54" s="1892" t="str">
        <f t="shared" si="0"/>
        <v>增值额×税（费）率</v>
      </c>
      <c r="O54" s="3780" t="str">
        <f t="shared" si="0"/>
        <v>免征</v>
      </c>
      <c r="P54" s="47"/>
      <c r="R54" s="3591" t="s">
        <v>3691</v>
      </c>
      <c r="S54" s="3590" t="s">
        <v>3694</v>
      </c>
    </row>
    <row r="55" spans="1:35" ht="24" customHeight="1">
      <c r="A55" s="4321" t="s">
        <v>1343</v>
      </c>
      <c r="B55" s="4308"/>
      <c r="C55" s="4308"/>
      <c r="D55" s="3875">
        <f ca="1">IF(H55="个人住宅",0,ROUND(D45*I55,0))</f>
        <v>0</v>
      </c>
      <c r="E55" s="936" t="s">
        <v>1344</v>
      </c>
      <c r="F55" s="1911" t="str">
        <f>IF(H55="正常",I55,"免征")</f>
        <v>免征</v>
      </c>
      <c r="G55" s="1912"/>
      <c r="H55" s="1910"/>
      <c r="I55" s="65">
        <f>'数据-取费表'!B50</f>
        <v>5.0000000000000001E-4</v>
      </c>
      <c r="J55" s="1892">
        <f>IF(H59="非个人房产","",4)</f>
        <v>4</v>
      </c>
      <c r="K55" s="4268" t="str">
        <f>IF(H59="非个人房产","——","个人所得税")</f>
        <v>个人所得税</v>
      </c>
      <c r="L55" s="4268"/>
      <c r="M55" s="3880">
        <f ca="1">D59</f>
        <v>6</v>
      </c>
      <c r="N55" s="1515" t="str">
        <f>E59</f>
        <v>差额计税</v>
      </c>
      <c r="O55" s="3781">
        <f>F59</f>
        <v>0.01</v>
      </c>
      <c r="R55" s="3591" t="s">
        <v>3692</v>
      </c>
      <c r="S55" s="3590" t="s">
        <v>3695</v>
      </c>
    </row>
    <row r="56" spans="1:35" ht="25.2">
      <c r="A56" s="4321" t="s">
        <v>1345</v>
      </c>
      <c r="B56" s="4308"/>
      <c r="C56" s="4308"/>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44" t="str">
        <f>IF(项目基本情况!K6="上海银行","其他处置费用","")</f>
        <v/>
      </c>
      <c r="L56" s="4245"/>
      <c r="M56" s="3879" t="str">
        <f>IF(项目基本情况!K6="上海银行",M69,"")</f>
        <v/>
      </c>
      <c r="N56" s="4244" t="str">
        <f>IF(项目基本情况!K6="上海银行","包含处置中涉及的律师、诉讼、拍卖、评估等费用","")</f>
        <v/>
      </c>
      <c r="O56" s="4248"/>
      <c r="R56" s="3590"/>
      <c r="S56" s="3590" t="s">
        <v>3696</v>
      </c>
    </row>
    <row r="57" spans="1:35" ht="13.2">
      <c r="A57" s="1744" t="s">
        <v>1324</v>
      </c>
      <c r="B57" s="4291" t="s">
        <v>1348</v>
      </c>
      <c r="C57" s="4292"/>
      <c r="D57" s="3876">
        <v>0</v>
      </c>
      <c r="E57" s="208" t="s">
        <v>1326</v>
      </c>
      <c r="F57" s="187"/>
      <c r="G57" s="1912"/>
      <c r="H57" s="1916"/>
      <c r="I57" s="1333"/>
      <c r="J57" s="4268">
        <f>IF(AND(J55="",J56=""),4,IF(项目基本情况!K6="上海银行",结果表!J56+1,结果表!J55+1))</f>
        <v>5</v>
      </c>
      <c r="K57" s="4268" t="s">
        <v>1349</v>
      </c>
      <c r="L57" s="1894" t="s">
        <v>1350</v>
      </c>
      <c r="M57" s="1895"/>
      <c r="N57" s="3881">
        <f ca="1">SUMIF(M52:M56,"&lt;9e307")</f>
        <v>6</v>
      </c>
      <c r="O57" s="1896"/>
      <c r="P57" s="1998" t="e">
        <f ca="1">N57/M49</f>
        <v>#VALUE!</v>
      </c>
      <c r="R57" s="4331" t="s">
        <v>3743</v>
      </c>
      <c r="S57" s="4332"/>
    </row>
    <row r="58" spans="1:35" ht="25.2">
      <c r="A58" s="1744" t="s">
        <v>1335</v>
      </c>
      <c r="B58" s="4291" t="s">
        <v>1351</v>
      </c>
      <c r="C58" s="4290"/>
      <c r="D58" s="3875">
        <f ca="1">IF(H58="转让取得",C81,C97)</f>
        <v>261</v>
      </c>
      <c r="E58" s="936" t="s">
        <v>1346</v>
      </c>
      <c r="F58" s="187" t="s">
        <v>26</v>
      </c>
      <c r="G58" s="1912"/>
      <c r="H58" s="1915"/>
      <c r="I58" s="1333"/>
      <c r="J58" s="4268"/>
      <c r="K58" s="4268"/>
      <c r="L58" s="1894" t="s">
        <v>1352</v>
      </c>
      <c r="M58" s="1897"/>
      <c r="N58" s="1898" t="str">
        <f ca="1">NUMBERSTRING(INT(N57*10000),2)&amp;"元整"</f>
        <v>陆万元整</v>
      </c>
      <c r="O58" s="1899"/>
      <c r="R58" s="4333"/>
      <c r="S58" s="4334"/>
    </row>
    <row r="59" spans="1:35" ht="24.6" thickBot="1">
      <c r="A59" s="4271" t="s">
        <v>1353</v>
      </c>
      <c r="B59" s="4272"/>
      <c r="C59" s="4272"/>
      <c r="D59" s="3878">
        <f ca="1">IF(H59="非个人房产","——",IF(H59="个人住宅（满五唯一有凭证）",0,IF(H59="个人其他（无凭证）",ROUND(D45/(1+'数据-取费表'!C43)*F59,0),ROUND(C67*F59,0))))</f>
        <v>6</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269">
        <f>J57+1</f>
        <v>6</v>
      </c>
      <c r="K59" s="4268"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270"/>
      <c r="K60" s="4268"/>
      <c r="L60" s="1894" t="s">
        <v>1352</v>
      </c>
      <c r="M60" s="1897"/>
      <c r="N60" s="1898" t="e">
        <f ca="1">NUMBERSTRING(INT(N59*10000),2)&amp;"元整"</f>
        <v>#VALUE!</v>
      </c>
      <c r="O60" s="1899"/>
      <c r="R60" s="3589" t="s">
        <v>3700</v>
      </c>
      <c r="S60" s="3589" t="s">
        <v>3742</v>
      </c>
    </row>
    <row r="61" spans="1:35" ht="15" thickBot="1">
      <c r="A61" s="4338" t="s">
        <v>3740</v>
      </c>
      <c r="B61" s="4339"/>
      <c r="C61" s="4339"/>
      <c r="D61" s="4339"/>
      <c r="E61" s="3770"/>
      <c r="F61" s="4328" t="s">
        <v>3741</v>
      </c>
      <c r="G61" s="4329"/>
      <c r="H61" s="4329"/>
      <c r="I61" s="4330"/>
      <c r="J61" s="3752">
        <f>J59+1</f>
        <v>7</v>
      </c>
      <c r="K61" s="4268" t="s">
        <v>1355</v>
      </c>
      <c r="L61" s="4268"/>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585</v>
      </c>
      <c r="D63" s="3765"/>
      <c r="E63" s="4335" t="s">
        <v>3745</v>
      </c>
      <c r="F63" s="1744">
        <v>1</v>
      </c>
      <c r="G63" s="2852" t="s">
        <v>3732</v>
      </c>
      <c r="H63" s="3349">
        <f ca="1">H64-H66</f>
        <v>48</v>
      </c>
      <c r="I63" s="2784"/>
      <c r="J63" s="4246"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585</v>
      </c>
      <c r="D64" s="3766"/>
      <c r="E64" s="4336"/>
      <c r="F64" s="1744">
        <v>2</v>
      </c>
      <c r="G64" s="2852" t="s">
        <v>3733</v>
      </c>
      <c r="H64" s="3349">
        <f ca="1">ROUND(H65*I64/(1+I64),0)</f>
        <v>48</v>
      </c>
      <c r="I64" s="3787">
        <v>0.09</v>
      </c>
      <c r="J64" s="4246"/>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336"/>
      <c r="F65" s="67" t="s">
        <v>323</v>
      </c>
      <c r="G65" s="3788" t="s">
        <v>3736</v>
      </c>
      <c r="H65" s="3349">
        <f ca="1">D45</f>
        <v>585</v>
      </c>
      <c r="I65" s="2784"/>
      <c r="J65" s="4246"/>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336"/>
      <c r="F66" s="2515">
        <v>3</v>
      </c>
      <c r="G66" s="2852" t="s">
        <v>3734</v>
      </c>
      <c r="H66" s="2768">
        <f>ROUND(H67*I67,0)+ROUND(H68*I68,0)</f>
        <v>0</v>
      </c>
      <c r="I66" s="2784"/>
      <c r="J66" s="4246"/>
      <c r="K66" s="925" t="s">
        <v>1364</v>
      </c>
      <c r="L66" s="3901" t="e">
        <f>M49*0.5%</f>
        <v>#VALUE!</v>
      </c>
      <c r="M66" s="2768" t="e">
        <f>IF(L66&gt;0.5,0.5,ROUND(L66,0))</f>
        <v>#VALUE!</v>
      </c>
      <c r="N66" s="1905" t="s">
        <v>1365</v>
      </c>
      <c r="Z66" s="1291"/>
      <c r="AI66" s="1234"/>
    </row>
    <row r="67" spans="1:35" ht="14.25" customHeight="1">
      <c r="A67" s="71" t="s">
        <v>326</v>
      </c>
      <c r="B67" s="3772" t="s">
        <v>3747</v>
      </c>
      <c r="C67" s="3754">
        <f ca="1">C63-C66</f>
        <v>585</v>
      </c>
      <c r="D67" s="3767"/>
      <c r="E67" s="4336"/>
      <c r="F67" s="67" t="s">
        <v>323</v>
      </c>
      <c r="G67" s="3788" t="s">
        <v>3738</v>
      </c>
      <c r="H67" s="3872"/>
      <c r="I67" s="3787">
        <v>0.09</v>
      </c>
      <c r="J67" s="4246"/>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29</v>
      </c>
      <c r="D68" s="3769">
        <v>0.05</v>
      </c>
      <c r="E68" s="4337"/>
      <c r="F68" s="3782" t="s">
        <v>324</v>
      </c>
      <c r="G68" s="3789" t="s">
        <v>3739</v>
      </c>
      <c r="H68" s="3874"/>
      <c r="I68" s="3790">
        <v>0.06</v>
      </c>
      <c r="J68" s="4246"/>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47"/>
      <c r="K69" s="925" t="s">
        <v>1368</v>
      </c>
      <c r="L69" s="3901"/>
      <c r="M69" s="2768" t="e">
        <f>ROUND(SUM(M63:M68),0)</f>
        <v>#VALUE!</v>
      </c>
      <c r="N69" s="1906" t="e">
        <f>M69/M49</f>
        <v>#VALUE!</v>
      </c>
      <c r="Z69" s="1291"/>
      <c r="AI69" s="1234"/>
    </row>
    <row r="70" spans="1:35" s="474" customFormat="1" ht="14.4" thickBot="1">
      <c r="A70" s="4294" t="s">
        <v>1369</v>
      </c>
      <c r="B70" s="4295"/>
      <c r="C70" s="4295"/>
      <c r="D70" s="4295"/>
      <c r="E70" s="4295"/>
      <c r="F70" s="4295"/>
      <c r="G70" s="4295"/>
      <c r="H70" s="4295"/>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86" t="s">
        <v>1356</v>
      </c>
      <c r="B71" s="4287"/>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537</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64</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91" t="s">
        <v>1377</v>
      </c>
      <c r="F76" s="4290"/>
      <c r="G76" s="4290"/>
      <c r="H76" s="4293"/>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64</v>
      </c>
      <c r="D78" s="3759">
        <f>'数据-取费表'!B44</f>
        <v>0.12000000000000001</v>
      </c>
      <c r="E78" s="4283" t="s">
        <v>1381</v>
      </c>
      <c r="F78" s="4284"/>
      <c r="G78" s="4284"/>
      <c r="H78" s="4285"/>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473</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7.390625</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261</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294" t="s">
        <v>1385</v>
      </c>
      <c r="B83" s="4295"/>
      <c r="C83" s="4295"/>
      <c r="D83" s="4295"/>
      <c r="E83" s="4295"/>
      <c r="F83" s="4295"/>
      <c r="G83" s="4295"/>
      <c r="H83" s="4295"/>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86" t="s">
        <v>1356</v>
      </c>
      <c r="B84" s="4287"/>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537</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64</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249" t="s">
        <v>2043</v>
      </c>
      <c r="H90" s="4250"/>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83" t="s">
        <v>1394</v>
      </c>
      <c r="F91" s="4284"/>
      <c r="G91" s="4284"/>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83" t="s">
        <v>1397</v>
      </c>
      <c r="F92" s="4284"/>
      <c r="G92" s="4284"/>
      <c r="H92" s="4285"/>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64</v>
      </c>
      <c r="D93" s="3759">
        <f>'数据-取费表'!B44</f>
        <v>0.12000000000000001</v>
      </c>
      <c r="E93" s="4322" t="s">
        <v>3729</v>
      </c>
      <c r="F93" s="4284"/>
      <c r="G93" s="4284"/>
      <c r="H93" s="4285"/>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323" t="s">
        <v>1401</v>
      </c>
      <c r="F94" s="4324"/>
      <c r="G94" s="4324"/>
      <c r="H94" s="4325"/>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473</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7.390625</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261</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29" t="s">
        <v>1403</v>
      </c>
      <c r="B100" s="4230"/>
      <c r="C100" s="4230"/>
      <c r="D100" s="4251"/>
      <c r="E100" s="4230" t="s">
        <v>1404</v>
      </c>
      <c r="F100" s="4230"/>
      <c r="G100" s="4230"/>
      <c r="H100" s="4251"/>
      <c r="I100" s="47"/>
    </row>
    <row r="101" spans="1:35" ht="18.75" customHeight="1">
      <c r="A101" s="4276" t="s">
        <v>1405</v>
      </c>
      <c r="B101" s="4277"/>
      <c r="C101" s="1921" t="str">
        <f>C4</f>
        <v>比较法-住宅</v>
      </c>
      <c r="D101" s="1922" t="str">
        <f>D4</f>
        <v>成本法 (元)</v>
      </c>
      <c r="E101" s="4242" t="s">
        <v>1406</v>
      </c>
      <c r="F101" s="4243"/>
      <c r="G101" s="1348" t="s">
        <v>1407</v>
      </c>
      <c r="H101" s="3896">
        <f ca="1">H118</f>
        <v>585.35929999999996</v>
      </c>
      <c r="I101" s="47"/>
    </row>
    <row r="102" spans="1:35" ht="18.75" customHeight="1">
      <c r="A102" s="4278" t="s">
        <v>1408</v>
      </c>
      <c r="B102" s="1920" t="s">
        <v>1407</v>
      </c>
      <c r="C102" s="3888">
        <f ca="1">C19</f>
        <v>616.22069999999997</v>
      </c>
      <c r="D102" s="3889">
        <f ca="1">D19</f>
        <v>461.90839999999997</v>
      </c>
      <c r="E102" s="4242"/>
      <c r="F102" s="4243"/>
      <c r="G102" s="1348" t="s">
        <v>1409</v>
      </c>
      <c r="H102" s="2882">
        <f ca="1">I118</f>
        <v>7636779</v>
      </c>
      <c r="I102" s="47"/>
    </row>
    <row r="103" spans="1:35" ht="42.75" customHeight="1">
      <c r="A103" s="4278"/>
      <c r="B103" s="1920" t="s">
        <v>1409</v>
      </c>
      <c r="C103" s="3890">
        <f ca="1">C20</f>
        <v>70385</v>
      </c>
      <c r="D103" s="3891">
        <f ca="1">D20</f>
        <v>52759</v>
      </c>
      <c r="E103" s="4235" t="s">
        <v>1410</v>
      </c>
      <c r="F103" s="4236"/>
      <c r="G103" s="1349" t="s">
        <v>1411</v>
      </c>
      <c r="H103" s="3896">
        <f>IF(D36="正常操作",H104+H105+H106,H105+H106)</f>
        <v>0</v>
      </c>
      <c r="I103" s="47"/>
    </row>
    <row r="104" spans="1:35" ht="18.75" customHeight="1">
      <c r="A104" s="4278" t="s">
        <v>1412</v>
      </c>
      <c r="B104" s="1923" t="s">
        <v>1407</v>
      </c>
      <c r="C104" s="3892">
        <f ca="1">H118</f>
        <v>585.35929999999996</v>
      </c>
      <c r="D104" s="3893"/>
      <c r="E104" s="1228" t="s">
        <v>1413</v>
      </c>
      <c r="F104" s="1225"/>
      <c r="G104" s="1349" t="s">
        <v>1411</v>
      </c>
      <c r="H104" s="3897">
        <f>IF(D36="同一抵押权人同一抵押物续贷",C36&amp;"（续贷，未扣减，详见特别提示）",C36)</f>
        <v>0</v>
      </c>
      <c r="I104" s="47"/>
    </row>
    <row r="105" spans="1:35" ht="18.75" customHeight="1" thickBot="1">
      <c r="A105" s="4288"/>
      <c r="B105" s="1924" t="s">
        <v>1409</v>
      </c>
      <c r="C105" s="3894">
        <f ca="1">I118</f>
        <v>7636779</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79" t="str">
        <f>IF(项目基本情况!E8="已注销","——","3.房地产抵押价值")</f>
        <v>3.房地产抵押价值</v>
      </c>
      <c r="F107" s="4243"/>
      <c r="G107" s="1348" t="s">
        <v>1407</v>
      </c>
      <c r="H107" s="3896">
        <f ca="1">IF(E107="——","——",H101-H103)</f>
        <v>585.35929999999996</v>
      </c>
      <c r="I107" s="47"/>
    </row>
    <row r="108" spans="1:35" ht="18.75" customHeight="1">
      <c r="A108" s="47"/>
      <c r="B108" s="47"/>
      <c r="C108" s="47"/>
      <c r="D108" s="47"/>
      <c r="E108" s="4279"/>
      <c r="F108" s="4243"/>
      <c r="G108" s="1348" t="s">
        <v>1409</v>
      </c>
      <c r="H108" s="2882">
        <f ca="1">IF(H107=H101,H102,ROUND(H107*10000/'数据-汇总表'!E3,0))</f>
        <v>7636779</v>
      </c>
      <c r="I108" s="47"/>
    </row>
    <row r="109" spans="1:35" ht="18.75" customHeight="1">
      <c r="A109" s="47"/>
      <c r="B109" s="47"/>
      <c r="C109" s="47"/>
      <c r="D109" s="47"/>
      <c r="E109" s="4279" t="str">
        <f>IF(项目基本情况!E8="已注销及未注销","4.抵押担保权已注销时的房地产抵押价值",IF(项目基本情况!E8="已注销","3.抵押担保权已注销时的房地产抵押价值","——"))</f>
        <v>——</v>
      </c>
      <c r="F109" s="4243"/>
      <c r="G109" s="1348" t="s">
        <v>1407</v>
      </c>
      <c r="H109" s="2877" t="str">
        <f>IF(E109="——","——",H101-H105-H106)</f>
        <v>——</v>
      </c>
      <c r="I109" s="47"/>
    </row>
    <row r="110" spans="1:35" ht="18.75" customHeight="1">
      <c r="A110" s="47"/>
      <c r="B110" s="47"/>
      <c r="C110" s="47"/>
      <c r="D110" s="47"/>
      <c r="E110" s="4279"/>
      <c r="F110" s="4243"/>
      <c r="G110" s="1348" t="s">
        <v>1409</v>
      </c>
      <c r="H110" s="2882" t="str">
        <f>IF(H109="——","——",ROUND(H109*10000/'数据-汇总表'!E3,0))</f>
        <v>——</v>
      </c>
      <c r="I110" s="47"/>
    </row>
    <row r="111" spans="1:35" ht="18.75" customHeight="1">
      <c r="A111" s="47"/>
      <c r="B111" s="47"/>
      <c r="C111" s="47"/>
      <c r="D111" s="47"/>
      <c r="E111" s="4280" t="str">
        <f>IF(项目基本情况!E9="抵押净值",IF(OR(项目基本情况!E8="已注销",项目基本情况!E8="房地产抵押价值"),"4.抵押净值","5.抵押净值"),"——")</f>
        <v>——</v>
      </c>
      <c r="F111" s="4267"/>
      <c r="G111" s="1348" t="s">
        <v>1407</v>
      </c>
      <c r="H111" s="3896" t="str">
        <f>IF(E111="——","——",N59)</f>
        <v>——</v>
      </c>
      <c r="I111" s="47"/>
    </row>
    <row r="112" spans="1:35" ht="18.75" customHeight="1" thickBot="1">
      <c r="A112" s="47"/>
      <c r="B112" s="47"/>
      <c r="C112" s="47"/>
      <c r="D112" s="47"/>
      <c r="E112" s="4281"/>
      <c r="F112" s="4282"/>
      <c r="G112" s="1351" t="s">
        <v>1409</v>
      </c>
      <c r="H112" s="3852" t="str">
        <f>IF(E111="——","——",N61)</f>
        <v>——</v>
      </c>
      <c r="I112" s="47"/>
    </row>
    <row r="113" spans="1:27" ht="18.75" customHeight="1">
      <c r="A113" s="47"/>
      <c r="B113" s="47"/>
      <c r="C113" s="47"/>
      <c r="D113" s="47"/>
      <c r="E113" s="4289" t="s">
        <v>1415</v>
      </c>
      <c r="F113" s="4289"/>
      <c r="G113" s="4289"/>
      <c r="H113" s="4289"/>
      <c r="I113" s="47"/>
    </row>
    <row r="114" spans="1:27" ht="3.75" customHeight="1">
      <c r="A114" s="475"/>
      <c r="B114" s="475"/>
      <c r="C114" s="475"/>
      <c r="D114" s="475"/>
      <c r="E114" s="1334"/>
      <c r="F114" s="1334"/>
      <c r="G114" s="1334"/>
      <c r="H114" s="1334"/>
      <c r="I114" s="475"/>
    </row>
    <row r="115" spans="1:27" ht="18.75" customHeight="1">
      <c r="A115" s="4300" t="s">
        <v>1417</v>
      </c>
      <c r="B115" s="4301"/>
      <c r="C115" s="4301"/>
      <c r="D115" s="4301"/>
      <c r="E115" s="4301"/>
      <c r="F115" s="4301"/>
      <c r="G115" s="4301"/>
      <c r="H115" s="4301"/>
      <c r="I115" s="4302"/>
    </row>
    <row r="116" spans="1:27" ht="27" customHeight="1">
      <c r="A116" s="4252" t="s">
        <v>1418</v>
      </c>
      <c r="B116" s="4256" t="s">
        <v>1419</v>
      </c>
      <c r="C116" s="4256" t="s">
        <v>1420</v>
      </c>
      <c r="D116" s="4265" t="s">
        <v>1421</v>
      </c>
      <c r="E116" s="4266"/>
      <c r="F116" s="4296"/>
      <c r="G116" s="4296"/>
      <c r="H116" s="4252" t="s">
        <v>1422</v>
      </c>
      <c r="I116" s="4252"/>
      <c r="K116" s="3198"/>
      <c r="L116" s="3199" t="s">
        <v>3518</v>
      </c>
      <c r="M116" s="3199" t="s">
        <v>3519</v>
      </c>
      <c r="N116" s="3199" t="s">
        <v>3520</v>
      </c>
    </row>
    <row r="117" spans="1:27" ht="18.75" customHeight="1">
      <c r="A117" s="4252"/>
      <c r="B117" s="4257"/>
      <c r="C117" s="4257"/>
      <c r="D117" s="1742" t="s">
        <v>1423</v>
      </c>
      <c r="E117" s="1742" t="s">
        <v>1424</v>
      </c>
      <c r="F117" s="1742" t="s">
        <v>1423</v>
      </c>
      <c r="G117" s="1742" t="s">
        <v>1425</v>
      </c>
      <c r="H117" s="1742" t="s">
        <v>1423</v>
      </c>
      <c r="I117" s="1742" t="s">
        <v>1425</v>
      </c>
      <c r="K117" s="3199" t="s">
        <v>3516</v>
      </c>
      <c r="L117" s="3899" t="e">
        <f ca="1">C34</f>
        <v>#REF!</v>
      </c>
      <c r="M117" s="3900" t="e">
        <f ca="1">C35</f>
        <v>#REF!</v>
      </c>
      <c r="N117" s="3900">
        <f ca="1">C32</f>
        <v>66860</v>
      </c>
    </row>
    <row r="118" spans="1:27" ht="24.75" customHeight="1">
      <c r="A118" s="1925" t="str">
        <f>项目基本情况!S2</f>
        <v>北京市房地产</v>
      </c>
      <c r="B118" s="2687">
        <f>M18</f>
        <v>87.55</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585.35929999999996</v>
      </c>
      <c r="I118" s="2687">
        <f ca="1">ROUND(IF(D32="楼面单价",C32,N117*10000/B118),0)</f>
        <v>7636779</v>
      </c>
      <c r="K118" s="3198"/>
      <c r="L118" s="3198"/>
      <c r="M118" s="3198"/>
      <c r="N118" s="3198"/>
    </row>
    <row r="119" spans="1:27" ht="18.75" customHeight="1">
      <c r="A119" s="4252" t="s">
        <v>1426</v>
      </c>
      <c r="B119" s="4252"/>
      <c r="C119" s="4252"/>
      <c r="D119" s="4258" t="e">
        <f ca="1">NUMBERSTRING(INT(D118*10000),2)&amp;"元整"</f>
        <v>#REF!</v>
      </c>
      <c r="E119" s="4259"/>
      <c r="F119" s="4258" t="e">
        <f ca="1">NUMBERSTRING(INT(F118*10000),2)&amp;"元整"</f>
        <v>#REF!</v>
      </c>
      <c r="G119" s="4259"/>
      <c r="H119" s="4258" t="str">
        <f ca="1">NUMBERSTRING(INT(H118*10000),2)&amp;"元整"</f>
        <v>伍佰捌拾伍万叁仟伍佰玖拾叁元整</v>
      </c>
      <c r="I119" s="4259"/>
      <c r="K119" s="3199" t="s">
        <v>3517</v>
      </c>
      <c r="L119" s="3900" t="e">
        <f ca="1">C34</f>
        <v>#REF!</v>
      </c>
      <c r="M119" s="3900" t="e">
        <f ca="1">C35</f>
        <v>#REF!</v>
      </c>
      <c r="N119" s="3900">
        <f ca="1">C32</f>
        <v>66860</v>
      </c>
    </row>
    <row r="120" spans="1:27" ht="18.75" customHeight="1">
      <c r="A120" s="4260" t="str">
        <f>IF(项目基本情况!B9="房地产市场价值","",MID(E103,3,LEN(E103)-2))</f>
        <v/>
      </c>
      <c r="B120" s="4261"/>
      <c r="C120" s="4262"/>
      <c r="D120" s="4253">
        <f>H103</f>
        <v>0</v>
      </c>
      <c r="E120" s="4254"/>
      <c r="F120" s="4254"/>
      <c r="G120" s="4254"/>
      <c r="H120" s="4254"/>
      <c r="I120" s="4255"/>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297" t="s">
        <v>1426</v>
      </c>
      <c r="B121" s="4298"/>
      <c r="C121" s="4299"/>
      <c r="D121" s="4258" t="str">
        <f>IF(D120=0,"零元整",NUMBERSTRING(INT(D120*10000),2)&amp;"元整")</f>
        <v>零元整</v>
      </c>
      <c r="E121" s="4263"/>
      <c r="F121" s="4263"/>
      <c r="G121" s="4263"/>
      <c r="H121" s="4263"/>
      <c r="I121" s="4259"/>
      <c r="AA121" s="503"/>
    </row>
    <row r="122" spans="1:27" ht="18.75" customHeight="1">
      <c r="A122" s="4267" t="str">
        <f>IF(项目基本情况!B9="房地产市场价值","",MID(E107,3,LEN(E107)-2))</f>
        <v/>
      </c>
      <c r="B122" s="4267"/>
      <c r="C122" s="4267"/>
      <c r="D122" s="4253">
        <f ca="1">H107</f>
        <v>585.35929999999996</v>
      </c>
      <c r="E122" s="4254"/>
      <c r="F122" s="4254"/>
      <c r="G122" s="4254"/>
      <c r="H122" s="4254"/>
      <c r="I122" s="4255"/>
      <c r="AA122" s="503"/>
    </row>
    <row r="123" spans="1:27" ht="18.75" customHeight="1">
      <c r="A123" s="4252" t="s">
        <v>1426</v>
      </c>
      <c r="B123" s="4252"/>
      <c r="C123" s="4252"/>
      <c r="D123" s="4258" t="str">
        <f ca="1">NUMBERSTRING(INT(D122*10000),2)&amp;"元整"</f>
        <v>伍佰捌拾伍万叁仟伍佰玖拾叁元整</v>
      </c>
      <c r="E123" s="4263"/>
      <c r="F123" s="4263"/>
      <c r="G123" s="4263"/>
      <c r="H123" s="4263"/>
      <c r="I123" s="4259"/>
      <c r="AA123" s="503"/>
    </row>
    <row r="124" spans="1:27" ht="18.75" customHeight="1">
      <c r="A124" s="4267" t="str">
        <f>IF(项目基本情况!B9="房地产市场价值","",MID(E109,3,LEN(E109)-2))</f>
        <v/>
      </c>
      <c r="B124" s="4267"/>
      <c r="C124" s="4267"/>
      <c r="D124" s="4253" t="str">
        <f>H109</f>
        <v>——</v>
      </c>
      <c r="E124" s="4254"/>
      <c r="F124" s="4254"/>
      <c r="G124" s="4254"/>
      <c r="H124" s="4254"/>
      <c r="I124" s="4255"/>
      <c r="AA124" s="503"/>
    </row>
    <row r="125" spans="1:27" ht="18.75" customHeight="1">
      <c r="A125" s="4252" t="s">
        <v>1426</v>
      </c>
      <c r="B125" s="4252"/>
      <c r="C125" s="4252"/>
      <c r="D125" s="4258" t="e">
        <f>NUMBERSTRING(INT(D124*10000),2)&amp;"元整"</f>
        <v>#VALUE!</v>
      </c>
      <c r="E125" s="4263"/>
      <c r="F125" s="4263"/>
      <c r="G125" s="4263"/>
      <c r="H125" s="4263"/>
      <c r="I125" s="4259"/>
      <c r="AA125" s="503"/>
    </row>
    <row r="126" spans="1:27" ht="18.75" customHeight="1">
      <c r="A126" s="4267" t="str">
        <f>IF(项目基本情况!B9="房地产市场价值","",MID(E111,3,LEN(E111)-2))</f>
        <v/>
      </c>
      <c r="B126" s="4267"/>
      <c r="C126" s="4267"/>
      <c r="D126" s="4253" t="str">
        <f>H111</f>
        <v>——</v>
      </c>
      <c r="E126" s="4254"/>
      <c r="F126" s="4254"/>
      <c r="G126" s="4254"/>
      <c r="H126" s="4254"/>
      <c r="I126" s="4255"/>
      <c r="AA126" s="503"/>
    </row>
    <row r="127" spans="1:27" ht="18.75" customHeight="1">
      <c r="A127" s="4252" t="s">
        <v>1426</v>
      </c>
      <c r="B127" s="4252"/>
      <c r="C127" s="4252"/>
      <c r="D127" s="4258" t="e">
        <f>NUMBERSTRING(INT(D126*10000),2)&amp;"元整"</f>
        <v>#VALUE!</v>
      </c>
      <c r="E127" s="4263"/>
      <c r="F127" s="4263"/>
      <c r="G127" s="4263"/>
      <c r="H127" s="4263"/>
      <c r="I127" s="4259"/>
      <c r="AA127" s="503"/>
    </row>
    <row r="128" spans="1:27" ht="21.75" customHeight="1">
      <c r="A128" s="4264" t="s">
        <v>1427</v>
      </c>
      <c r="B128" s="4264"/>
      <c r="C128" s="4264"/>
      <c r="D128" s="4264"/>
      <c r="E128" s="4264"/>
      <c r="F128" s="4264"/>
      <c r="G128" s="4264"/>
      <c r="H128" s="4264"/>
      <c r="I128" s="4264"/>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35</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3998</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49</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41</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31</v>
      </c>
      <c r="D10" s="2639"/>
      <c r="E10" s="145"/>
      <c r="F10" s="2647">
        <f ca="1">IF('数据-取费表'!B24=0,1,IF(B1="",'数据-取费表'!N16,INDIRECT("'数据-取费表'!n"&amp;$G$1)))</f>
        <v>1</v>
      </c>
      <c r="G10" s="157" t="s">
        <v>1474</v>
      </c>
    </row>
    <row r="11" spans="1:9" s="110" customFormat="1">
      <c r="A11" s="2664" t="s">
        <v>349</v>
      </c>
      <c r="B11" s="2665" t="s">
        <v>3344</v>
      </c>
      <c r="C11" s="2609">
        <f ca="1">ROUND(C10*F11,0)</f>
        <v>2</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0.02</v>
      </c>
      <c r="G12" s="136" t="s">
        <v>1478</v>
      </c>
    </row>
    <row r="13" spans="1:9" s="110" customFormat="1">
      <c r="A13" s="2664" t="s">
        <v>3308</v>
      </c>
      <c r="B13" s="2665" t="s">
        <v>3346</v>
      </c>
      <c r="C13" s="2609">
        <f ca="1">C14+C17+C18</f>
        <v>5</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1</v>
      </c>
      <c r="D15" s="2649">
        <f ca="1">IF(B1="",'数据-汇总表'!E5,IF(INDIRECT("'数据-取费表'!c"&amp;$G$1)="住宅",INDIRECT("'数据-取费表'!k"&amp;$G$1),0))</f>
        <v>87.55</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87.55</v>
      </c>
      <c r="E17" s="2650">
        <f>'数据-取费表'!B31</f>
        <v>200</v>
      </c>
      <c r="F17" s="2617"/>
      <c r="G17" s="1375"/>
    </row>
    <row r="18" spans="1:7" s="110" customFormat="1">
      <c r="A18" s="2670" t="s">
        <v>3311</v>
      </c>
      <c r="B18" s="2669" t="s">
        <v>1479</v>
      </c>
      <c r="C18" s="2609">
        <f ca="1">ROUND(E18*D18*F10/10000,0)</f>
        <v>3</v>
      </c>
      <c r="D18" s="2609">
        <f ca="1">D17</f>
        <v>87.55</v>
      </c>
      <c r="E18" s="2609">
        <f>'数据-取费表'!B35</f>
        <v>360</v>
      </c>
      <c r="F18" s="2620"/>
      <c r="G18" s="157" t="s">
        <v>1480</v>
      </c>
    </row>
    <row r="19" spans="1:7" s="110" customFormat="1">
      <c r="A19" s="2664" t="s">
        <v>352</v>
      </c>
      <c r="B19" s="2665" t="s">
        <v>3347</v>
      </c>
      <c r="C19" s="2609">
        <f ca="1">ROUND(C10*F19,0)</f>
        <v>1</v>
      </c>
      <c r="D19" s="145"/>
      <c r="E19" s="145"/>
      <c r="F19" s="2620">
        <f>'数据-取费表'!B36</f>
        <v>0.02</v>
      </c>
      <c r="G19" s="157" t="s">
        <v>1476</v>
      </c>
    </row>
    <row r="20" spans="1:7" s="110" customFormat="1">
      <c r="A20" s="2664" t="s">
        <v>3312</v>
      </c>
      <c r="B20" s="2665" t="s">
        <v>3348</v>
      </c>
      <c r="C20" s="2609">
        <f ca="1">ROUND(C10*F20,0)</f>
        <v>1</v>
      </c>
      <c r="D20" s="2651"/>
      <c r="E20" s="141"/>
      <c r="F20" s="2620">
        <f>'数据-取费表'!B37</f>
        <v>0.02</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1+0.0005V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1</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4.4">
      <c r="A27" s="2599" t="s">
        <v>3369</v>
      </c>
      <c r="B27" s="2663" t="s">
        <v>3318</v>
      </c>
      <c r="C27" s="2628" t="str">
        <f ca="1">C28&amp;"+"&amp;C29&amp;"V"</f>
        <v>5+0.0036V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5</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14</v>
      </c>
      <c r="D31" s="2603"/>
      <c r="E31" s="2603"/>
      <c r="F31" s="2618">
        <f>IF('数据-取费表'!B24=0,'数据-取费表'!N16,1)</f>
        <v>0.7</v>
      </c>
      <c r="G31" s="2604" t="s">
        <v>3356</v>
      </c>
    </row>
    <row r="32" spans="1:7" s="110" customFormat="1" ht="15.6">
      <c r="A32" s="2591" t="s">
        <v>3321</v>
      </c>
      <c r="B32" s="2590" t="s">
        <v>3322</v>
      </c>
      <c r="C32" s="2613">
        <f ca="1">C5-C31</f>
        <v>35</v>
      </c>
      <c r="D32" s="2603"/>
      <c r="E32" s="2603"/>
      <c r="F32" s="2602"/>
      <c r="G32" s="2605" t="s">
        <v>3355</v>
      </c>
    </row>
    <row r="33" spans="1:7" s="110" customFormat="1" ht="16.2" thickBot="1">
      <c r="A33" s="2674">
        <v>4</v>
      </c>
      <c r="B33" s="2675" t="s">
        <v>3357</v>
      </c>
      <c r="C33" s="2614">
        <f ca="1">ROUND(C32*(1+F33),0)</f>
        <v>38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39</v>
      </c>
      <c r="D40" s="2898"/>
      <c r="E40" s="2898"/>
      <c r="F40" s="2898"/>
      <c r="G40" s="2898"/>
    </row>
    <row r="41" spans="1:7" ht="15.6">
      <c r="A41" s="2656" t="s">
        <v>3325</v>
      </c>
      <c r="B41" s="2726" t="str">
        <f t="shared" ref="B41:C43" si="0">B10</f>
        <v xml:space="preserve">  建安费用</v>
      </c>
      <c r="C41" s="2588">
        <f t="shared" ca="1" si="0"/>
        <v>31</v>
      </c>
      <c r="D41" s="2583"/>
      <c r="E41" s="2583"/>
      <c r="F41" s="2584"/>
      <c r="G41" s="2584"/>
    </row>
    <row r="42" spans="1:7" ht="15.6">
      <c r="A42" s="2656" t="s">
        <v>3326</v>
      </c>
      <c r="B42" s="2726" t="str">
        <f t="shared" si="0"/>
        <v xml:space="preserve">  前期费用</v>
      </c>
      <c r="C42" s="2588">
        <f t="shared" ca="1" si="0"/>
        <v>2</v>
      </c>
      <c r="D42" s="2583"/>
      <c r="E42" s="2583"/>
      <c r="F42" s="2584"/>
      <c r="G42" s="2584"/>
    </row>
    <row r="43" spans="1:7" ht="15.6">
      <c r="A43" s="2656" t="s">
        <v>3398</v>
      </c>
      <c r="B43" s="2660" t="str">
        <f t="shared" si="0"/>
        <v xml:space="preserve">  公共配套设施费用</v>
      </c>
      <c r="C43" s="2588">
        <f t="shared" ca="1" si="0"/>
        <v>1</v>
      </c>
      <c r="D43" s="2583"/>
      <c r="E43" s="2583"/>
      <c r="F43" s="2584"/>
      <c r="G43" s="2584"/>
    </row>
    <row r="44" spans="1:7" ht="15.6">
      <c r="A44" s="2656" t="s">
        <v>3308</v>
      </c>
      <c r="B44" s="2660" t="str">
        <f>B18</f>
        <v>红线内市政费用</v>
      </c>
      <c r="C44" s="2588">
        <f ca="1">C18</f>
        <v>3</v>
      </c>
      <c r="D44" s="2583"/>
      <c r="E44" s="2583"/>
      <c r="F44" s="2584"/>
      <c r="G44" s="2584"/>
    </row>
    <row r="45" spans="1:7" ht="15.6">
      <c r="A45" s="2671" t="s">
        <v>3327</v>
      </c>
      <c r="B45" s="2666" t="str">
        <f>B19</f>
        <v xml:space="preserve">  其他工程费</v>
      </c>
      <c r="C45" s="2593">
        <f ca="1">C19</f>
        <v>1</v>
      </c>
      <c r="D45" s="2725"/>
      <c r="E45" s="2725"/>
      <c r="F45" s="2596"/>
      <c r="G45" s="2596"/>
    </row>
    <row r="46" spans="1:7" ht="15.6">
      <c r="A46" s="2671" t="s">
        <v>3397</v>
      </c>
      <c r="B46" s="2666" t="s">
        <v>3328</v>
      </c>
      <c r="C46" s="2593">
        <f ca="1">C20</f>
        <v>1</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1+0.0005V建1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1</v>
      </c>
      <c r="D50" s="1048"/>
      <c r="E50" s="1048"/>
      <c r="F50" s="1031"/>
      <c r="G50" s="4348" t="s">
        <v>3341</v>
      </c>
    </row>
    <row r="51" spans="1:7">
      <c r="A51" s="2656" t="s">
        <v>3326</v>
      </c>
      <c r="B51" s="2660" t="s">
        <v>3331</v>
      </c>
      <c r="C51" s="2752">
        <f ca="1">ROUND(IF('数据-取费表'!B22&lt;=1,F48*F23*'数据-取费表'!B22/2,F48*(POWER((1+F23),'数据-取费表'!B22/2)-1)),4)</f>
        <v>5.0000000000000001E-4</v>
      </c>
      <c r="D51" s="1048"/>
      <c r="E51" s="1048"/>
      <c r="F51" s="1031"/>
      <c r="G51" s="4349"/>
    </row>
    <row r="52" spans="1:7" ht="14.4">
      <c r="A52" s="2727" t="s">
        <v>3496</v>
      </c>
      <c r="B52" s="2736" t="s">
        <v>3332</v>
      </c>
      <c r="C52" s="2737" t="str">
        <f ca="1">C53&amp;"+"&amp;C54&amp;"V建1"</f>
        <v>5+0.0036V建1</v>
      </c>
      <c r="D52" s="2738"/>
      <c r="E52" s="2730"/>
      <c r="F52" s="2739">
        <f ca="1">F27</f>
        <v>0.12</v>
      </c>
      <c r="G52" s="2740" t="s">
        <v>3497</v>
      </c>
    </row>
    <row r="53" spans="1:7">
      <c r="A53" s="2656" t="s">
        <v>3329</v>
      </c>
      <c r="B53" s="2659" t="s">
        <v>3333</v>
      </c>
      <c r="C53" s="2588">
        <f ca="1">ROUND((C40+C47)*F27,0)</f>
        <v>5</v>
      </c>
      <c r="D53" s="2589"/>
      <c r="E53" s="2585"/>
      <c r="F53" s="2586"/>
      <c r="G53" s="2587"/>
    </row>
    <row r="54" spans="1:7">
      <c r="A54" s="2656" t="s">
        <v>3330</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47</v>
      </c>
      <c r="D56" s="297"/>
      <c r="E56" s="297"/>
      <c r="F56" s="2744"/>
      <c r="G56" s="2743" t="s">
        <v>3338</v>
      </c>
    </row>
    <row r="57" spans="1:7" ht="14.4">
      <c r="A57" s="2599" t="s">
        <v>3465</v>
      </c>
      <c r="B57" s="2745" t="s">
        <v>3335</v>
      </c>
      <c r="C57" s="2622">
        <f ca="1">ROUND(C56*(1-F57),0)</f>
        <v>14</v>
      </c>
      <c r="D57" s="297"/>
      <c r="E57" s="297"/>
      <c r="F57" s="2744">
        <f>F31</f>
        <v>0.7</v>
      </c>
      <c r="G57" s="2743" t="s">
        <v>3339</v>
      </c>
    </row>
    <row r="58" spans="1:7" ht="16.8">
      <c r="A58" s="2599" t="s">
        <v>3501</v>
      </c>
      <c r="B58" s="2741" t="s">
        <v>3502</v>
      </c>
      <c r="C58" s="2622">
        <f ca="1">C56-C57</f>
        <v>33</v>
      </c>
      <c r="D58" s="297"/>
      <c r="E58" s="297"/>
      <c r="F58" s="2744"/>
      <c r="G58" s="2743" t="s">
        <v>3340</v>
      </c>
    </row>
    <row r="59" spans="1:7" ht="14.4">
      <c r="A59" s="2746" t="s">
        <v>3399</v>
      </c>
      <c r="B59" s="2747" t="s">
        <v>3336</v>
      </c>
      <c r="C59" s="2748">
        <f ca="1">ROUND(C58*(1+F59),0)</f>
        <v>36</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5.7000000000000051E-2</v>
      </c>
    </row>
    <row r="64" spans="1:7" ht="21" customHeight="1">
      <c r="B64" s="55" t="s">
        <v>789</v>
      </c>
      <c r="C64" s="2654">
        <f ca="1">ROUND(C58/C32,3)</f>
        <v>0.94299999999999995</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43" t="str">
        <f>项目基本情况!B1</f>
        <v>北京市房地产市场价值预评估</v>
      </c>
      <c r="C37" s="4143"/>
      <c r="D37" s="4143"/>
      <c r="E37" s="4143"/>
      <c r="F37" s="4143"/>
      <c r="G37" s="4143"/>
      <c r="H37" s="4143"/>
      <c r="I37" s="4143"/>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D64" sqref="D6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3949</v>
      </c>
      <c r="D1" s="1378" t="s">
        <v>1507</v>
      </c>
      <c r="E1" s="94"/>
      <c r="F1" s="94"/>
      <c r="G1" s="789">
        <f>MATCH(B1,'数据-取费表'!A6:A16,0)+5</f>
        <v>6</v>
      </c>
      <c r="H1" s="3170" t="str">
        <f>IF(ISERROR(FIND("住宅",B1)),"非住宅","住宅")</f>
        <v>住宅</v>
      </c>
    </row>
    <row r="2" spans="1:10" s="96" customFormat="1" ht="15.6">
      <c r="A2" s="97" t="s">
        <v>1436</v>
      </c>
      <c r="B2" s="3902">
        <f ca="1">ROUND(D3/10000,4)</f>
        <v>461.90839999999997</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52759</v>
      </c>
      <c r="C3" s="95" t="s">
        <v>1439</v>
      </c>
      <c r="D3" s="95">
        <f ca="1">IF(C1="含税",E2+C33,E2+C32)</f>
        <v>4619084</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4370017</v>
      </c>
      <c r="D5" s="2635"/>
      <c r="E5" s="2635"/>
      <c r="F5" s="2635"/>
      <c r="G5" s="2803" t="s">
        <v>3505</v>
      </c>
      <c r="J5" s="96"/>
    </row>
    <row r="6" spans="1:10" s="2621" customFormat="1" ht="15">
      <c r="A6" s="2599" t="s">
        <v>3361</v>
      </c>
      <c r="B6" s="2661" t="s">
        <v>3362</v>
      </c>
      <c r="C6" s="2636">
        <f>C7+C8</f>
        <v>3253884.3</v>
      </c>
      <c r="D6" s="2598"/>
      <c r="E6" s="2598"/>
      <c r="F6" s="2598"/>
      <c r="G6" s="2637"/>
      <c r="J6" s="96"/>
    </row>
    <row r="7" spans="1:10" s="110" customFormat="1" ht="15">
      <c r="A7" s="2638" t="s">
        <v>344</v>
      </c>
      <c r="B7" s="2662" t="s">
        <v>1447</v>
      </c>
      <c r="C7" s="3171">
        <f>基准地价修正!C33*'数据-汇总表'!F19</f>
        <v>3157578.3</v>
      </c>
      <c r="D7" s="2639"/>
      <c r="E7" s="2640"/>
      <c r="F7" s="2640"/>
      <c r="G7" s="157"/>
      <c r="J7" s="96"/>
    </row>
    <row r="8" spans="1:10" s="110" customFormat="1" ht="15">
      <c r="A8" s="2638" t="s">
        <v>345</v>
      </c>
      <c r="B8" s="2662" t="s">
        <v>1449</v>
      </c>
      <c r="C8" s="2609">
        <f>ROUND(C7*F8,0)</f>
        <v>96306</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385659</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306425</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15321</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6129</v>
      </c>
      <c r="D12" s="145"/>
      <c r="E12" s="145"/>
      <c r="F12" s="2620">
        <f>'数据-取费表'!B34</f>
        <v>0.02</v>
      </c>
      <c r="G12" s="136" t="s">
        <v>1478</v>
      </c>
      <c r="J12" s="96"/>
    </row>
    <row r="13" spans="1:10" s="110" customFormat="1" ht="15">
      <c r="A13" s="2664" t="s">
        <v>3308</v>
      </c>
      <c r="B13" s="2665" t="s">
        <v>3346</v>
      </c>
      <c r="C13" s="2609">
        <f ca="1">C14+C17+C18</f>
        <v>45526</v>
      </c>
      <c r="D13" s="145"/>
      <c r="E13" s="2640"/>
      <c r="F13" s="2641"/>
      <c r="G13" s="157"/>
      <c r="J13" s="96"/>
    </row>
    <row r="14" spans="1:10" s="119" customFormat="1" ht="15">
      <c r="A14" s="2592" t="s">
        <v>3309</v>
      </c>
      <c r="B14" s="2666" t="s">
        <v>3342</v>
      </c>
      <c r="C14" s="2609">
        <f ca="1">IF(G14="已包含在土地购买价格中","0",IF(B1="",'数据-取费表'!B29,IF(G15="全部缴纳",C15+C16,H15)))</f>
        <v>14008</v>
      </c>
      <c r="D14" s="2648"/>
      <c r="E14" s="145"/>
      <c r="F14" s="2641"/>
      <c r="G14" s="1375" t="s">
        <v>4010</v>
      </c>
      <c r="J14" s="96"/>
    </row>
    <row r="15" spans="1:10" s="110" customFormat="1" ht="15">
      <c r="A15" s="2667" t="s">
        <v>353</v>
      </c>
      <c r="B15" s="2668" t="s">
        <v>1452</v>
      </c>
      <c r="C15" s="2649">
        <f ca="1">ROUND(D15*E15,0)</f>
        <v>14008</v>
      </c>
      <c r="D15" s="2649">
        <f ca="1">IF(B1="",'数据-汇总表'!E5,IF(INDIRECT("'数据-取费表'!c"&amp;$G$1)="住宅",INDIRECT("'数据-取费表'!k"&amp;$G$1),0))</f>
        <v>87.55</v>
      </c>
      <c r="E15" s="2649">
        <f>'数据-取费表'!B27</f>
        <v>160</v>
      </c>
      <c r="F15" s="2641"/>
      <c r="G15" s="1376" t="s">
        <v>4015</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87.55</v>
      </c>
      <c r="E17" s="2650">
        <f>'数据-取费表'!B31</f>
        <v>200</v>
      </c>
      <c r="F17" s="2617"/>
      <c r="G17" s="1375" t="s">
        <v>4013</v>
      </c>
      <c r="J17" s="96"/>
    </row>
    <row r="18" spans="1:10" s="110" customFormat="1" ht="15">
      <c r="A18" s="2670" t="s">
        <v>3311</v>
      </c>
      <c r="B18" s="2669" t="s">
        <v>1479</v>
      </c>
      <c r="C18" s="2609">
        <f ca="1">ROUND(E18*D18*F10,0)</f>
        <v>31518</v>
      </c>
      <c r="D18" s="2609">
        <f ca="1">D17</f>
        <v>87.55</v>
      </c>
      <c r="E18" s="2609">
        <f>'数据-取费表'!B35</f>
        <v>360</v>
      </c>
      <c r="F18" s="2620"/>
      <c r="G18" s="157" t="s">
        <v>1480</v>
      </c>
      <c r="J18" s="96"/>
    </row>
    <row r="19" spans="1:10" s="110" customFormat="1" ht="15">
      <c r="A19" s="2664" t="s">
        <v>352</v>
      </c>
      <c r="B19" s="2665" t="s">
        <v>3347</v>
      </c>
      <c r="C19" s="2609">
        <f ca="1">ROUND(C10*F19,0)</f>
        <v>6129</v>
      </c>
      <c r="D19" s="145"/>
      <c r="E19" s="145"/>
      <c r="F19" s="2620">
        <f>'数据-取费表'!B36</f>
        <v>0.02</v>
      </c>
      <c r="G19" s="157" t="s">
        <v>1476</v>
      </c>
      <c r="J19" s="96"/>
    </row>
    <row r="20" spans="1:10" s="110" customFormat="1" ht="15">
      <c r="A20" s="2664" t="s">
        <v>3312</v>
      </c>
      <c r="B20" s="2665" t="s">
        <v>3348</v>
      </c>
      <c r="C20" s="2609">
        <f ca="1">ROUND(C10*F20,0)</f>
        <v>6129</v>
      </c>
      <c r="D20" s="2651"/>
      <c r="E20" s="141"/>
      <c r="F20" s="2620">
        <f>'数据-取费表'!B37</f>
        <v>0.02</v>
      </c>
      <c r="G20" s="157" t="s">
        <v>1476</v>
      </c>
      <c r="J20" s="96"/>
    </row>
    <row r="21" spans="1:10" s="2621" customFormat="1" ht="15">
      <c r="A21" s="2599" t="s">
        <v>3363</v>
      </c>
      <c r="B21" s="2661" t="s">
        <v>3364</v>
      </c>
      <c r="C21" s="2622">
        <f ca="1">ROUND((C6+C9)*F21,0)</f>
        <v>36395</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103948+0.0005V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97617</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6331</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441113+0.0036V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441113</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132325</v>
      </c>
      <c r="D31" s="2603"/>
      <c r="E31" s="2603"/>
      <c r="F31" s="2618">
        <f>IF('数据-取费表'!B24=0,'数据-取费表'!N16,1)</f>
        <v>0.7</v>
      </c>
      <c r="G31" s="2604" t="s">
        <v>3356</v>
      </c>
      <c r="J31" s="96"/>
    </row>
    <row r="32" spans="1:10" s="110" customFormat="1" ht="15.6">
      <c r="A32" s="2591" t="s">
        <v>3321</v>
      </c>
      <c r="B32" s="2590" t="s">
        <v>3322</v>
      </c>
      <c r="C32" s="2613">
        <f ca="1">C5-C31</f>
        <v>4237692</v>
      </c>
      <c r="D32" s="2603"/>
      <c r="E32" s="2603"/>
      <c r="F32" s="2602"/>
      <c r="G32" s="2605" t="s">
        <v>3355</v>
      </c>
      <c r="J32" s="96"/>
    </row>
    <row r="33" spans="1:10" s="110" customFormat="1" ht="16.2" thickBot="1">
      <c r="A33" s="2674">
        <v>4</v>
      </c>
      <c r="B33" s="2675" t="s">
        <v>3357</v>
      </c>
      <c r="C33" s="2614">
        <f ca="1">ROUND(C32*(1+F33),0)</f>
        <v>4619084</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371651</v>
      </c>
      <c r="D40" s="2898"/>
      <c r="E40" s="2898"/>
      <c r="F40" s="2898"/>
      <c r="G40" s="2898"/>
    </row>
    <row r="41" spans="1:10" ht="15.6">
      <c r="A41" s="2656" t="s">
        <v>3325</v>
      </c>
      <c r="B41" s="2726" t="str">
        <f t="shared" ref="B41:C43" si="0">B10</f>
        <v xml:space="preserve">  建安费用</v>
      </c>
      <c r="C41" s="2588">
        <f t="shared" ca="1" si="0"/>
        <v>306425</v>
      </c>
      <c r="D41" s="2583"/>
      <c r="E41" s="2583"/>
      <c r="F41" s="2584"/>
      <c r="G41" s="2584"/>
    </row>
    <row r="42" spans="1:10" ht="15.6">
      <c r="A42" s="2656" t="s">
        <v>3326</v>
      </c>
      <c r="B42" s="2726" t="str">
        <f t="shared" si="0"/>
        <v xml:space="preserve">  前期费用</v>
      </c>
      <c r="C42" s="2588">
        <f t="shared" ca="1" si="0"/>
        <v>15321</v>
      </c>
      <c r="D42" s="2583"/>
      <c r="E42" s="2583"/>
      <c r="F42" s="2584"/>
      <c r="G42" s="2584"/>
    </row>
    <row r="43" spans="1:10" ht="15.6">
      <c r="A43" s="2656" t="s">
        <v>3398</v>
      </c>
      <c r="B43" s="2660" t="str">
        <f t="shared" si="0"/>
        <v xml:space="preserve">  公共配套设施费用</v>
      </c>
      <c r="C43" s="2588">
        <f t="shared" ca="1" si="0"/>
        <v>6129</v>
      </c>
      <c r="D43" s="2583"/>
      <c r="E43" s="2583"/>
      <c r="F43" s="2584"/>
      <c r="G43" s="2584"/>
    </row>
    <row r="44" spans="1:10" ht="15.6">
      <c r="A44" s="2656" t="s">
        <v>3308</v>
      </c>
      <c r="B44" s="2660" t="str">
        <f>B18</f>
        <v>红线内市政费用</v>
      </c>
      <c r="C44" s="2588">
        <f ca="1">C18</f>
        <v>31518</v>
      </c>
      <c r="D44" s="2583"/>
      <c r="E44" s="2583"/>
      <c r="F44" s="2584"/>
      <c r="G44" s="2584"/>
    </row>
    <row r="45" spans="1:10" ht="15.6">
      <c r="A45" s="2671" t="s">
        <v>3327</v>
      </c>
      <c r="B45" s="2666" t="str">
        <f>B19</f>
        <v xml:space="preserve">  其他工程费</v>
      </c>
      <c r="C45" s="2593">
        <f ca="1">C19</f>
        <v>6129</v>
      </c>
      <c r="D45" s="2725"/>
      <c r="E45" s="2725"/>
      <c r="F45" s="2596"/>
      <c r="G45" s="2596"/>
    </row>
    <row r="46" spans="1:10" ht="15.6">
      <c r="A46" s="2671" t="s">
        <v>3397</v>
      </c>
      <c r="B46" s="2666" t="s">
        <v>3328</v>
      </c>
      <c r="C46" s="2593">
        <f ca="1">C20</f>
        <v>6129</v>
      </c>
      <c r="D46" s="2725"/>
      <c r="E46" s="2725"/>
      <c r="F46" s="2596"/>
      <c r="G46" s="2596"/>
    </row>
    <row r="47" spans="1:10" ht="14.4">
      <c r="A47" s="2727" t="s">
        <v>3489</v>
      </c>
      <c r="B47" s="2728" t="s">
        <v>3490</v>
      </c>
      <c r="C47" s="2729">
        <f ca="1">ROUND(C40*F47,0)</f>
        <v>3717</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5631+0.0005V建1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5631</v>
      </c>
      <c r="D50" s="1048"/>
      <c r="E50" s="1048"/>
      <c r="F50" s="1031"/>
      <c r="G50" s="4348" t="s">
        <v>3341</v>
      </c>
    </row>
    <row r="51" spans="1:7">
      <c r="A51" s="2656" t="s">
        <v>3326</v>
      </c>
      <c r="B51" s="2660" t="s">
        <v>3331</v>
      </c>
      <c r="C51" s="2752">
        <f ca="1">ROUND(IF('数据-取费表'!B22&lt;=1,F48*F23*'数据-取费表'!B22/2,F48*(POWER((1+F23),'数据-取费表'!B22/2)-1)),4)</f>
        <v>5.0000000000000001E-4</v>
      </c>
      <c r="D51" s="1048"/>
      <c r="E51" s="1048"/>
      <c r="F51" s="1031"/>
      <c r="G51" s="4349"/>
    </row>
    <row r="52" spans="1:7" ht="14.4">
      <c r="A52" s="2727" t="s">
        <v>3496</v>
      </c>
      <c r="B52" s="2736" t="s">
        <v>3332</v>
      </c>
      <c r="C52" s="2737" t="str">
        <f ca="1">C53&amp;"+"&amp;C54&amp;"V建1"</f>
        <v>45044+0.0036V建1</v>
      </c>
      <c r="D52" s="2738"/>
      <c r="E52" s="2730"/>
      <c r="F52" s="2739">
        <f ca="1">F27</f>
        <v>0.12</v>
      </c>
      <c r="G52" s="2740" t="s">
        <v>3497</v>
      </c>
    </row>
    <row r="53" spans="1:7">
      <c r="A53" s="2656" t="s">
        <v>3325</v>
      </c>
      <c r="B53" s="2659" t="s">
        <v>3333</v>
      </c>
      <c r="C53" s="2588">
        <f ca="1">ROUND((C40+C47)*F27,0)</f>
        <v>45044</v>
      </c>
      <c r="D53" s="2589"/>
      <c r="E53" s="2585"/>
      <c r="F53" s="2586"/>
      <c r="G53" s="2587"/>
    </row>
    <row r="54" spans="1:7">
      <c r="A54" s="2656" t="s">
        <v>3326</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441084</v>
      </c>
      <c r="D56" s="297"/>
      <c r="E56" s="297"/>
      <c r="F56" s="2744"/>
      <c r="G56" s="2743" t="s">
        <v>3338</v>
      </c>
    </row>
    <row r="57" spans="1:7" ht="14.4">
      <c r="A57" s="2599" t="s">
        <v>3465</v>
      </c>
      <c r="B57" s="2745" t="s">
        <v>3320</v>
      </c>
      <c r="C57" s="2622">
        <f ca="1">ROUND(C56*(1-F57),0)</f>
        <v>132325</v>
      </c>
      <c r="D57" s="297"/>
      <c r="E57" s="297"/>
      <c r="F57" s="2744">
        <f>F31</f>
        <v>0.7</v>
      </c>
      <c r="G57" s="2743" t="s">
        <v>3339</v>
      </c>
    </row>
    <row r="58" spans="1:7" ht="16.8">
      <c r="A58" s="2599" t="s">
        <v>3501</v>
      </c>
      <c r="B58" s="2741" t="s">
        <v>3502</v>
      </c>
      <c r="C58" s="2622">
        <f ca="1">C56-C57</f>
        <v>308759</v>
      </c>
      <c r="D58" s="297"/>
      <c r="E58" s="297"/>
      <c r="F58" s="2744"/>
      <c r="G58" s="2743" t="s">
        <v>3340</v>
      </c>
    </row>
    <row r="59" spans="1:7" ht="14.4">
      <c r="A59" s="2746" t="s">
        <v>3399</v>
      </c>
      <c r="B59" s="2747" t="s">
        <v>3336</v>
      </c>
      <c r="C59" s="2748">
        <f ca="1">ROUND(C58*(1+F59),0)</f>
        <v>336547</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0.92700000000000005</v>
      </c>
    </row>
    <row r="64" spans="1:7" ht="21" customHeight="1">
      <c r="B64" s="55" t="s">
        <v>789</v>
      </c>
      <c r="C64" s="2654">
        <f ca="1">ROUND(C58/C32,3)</f>
        <v>7.2999999999999995E-2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2516.2408999999998</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287406</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20644618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14008</v>
      </c>
      <c r="D8" s="118"/>
      <c r="E8" s="116"/>
      <c r="F8" s="117"/>
      <c r="G8" s="1375"/>
    </row>
    <row r="9" spans="1:8" s="110" customFormat="1" ht="13.5" customHeight="1">
      <c r="A9" s="540" t="s">
        <v>353</v>
      </c>
      <c r="B9" s="120" t="s">
        <v>1452</v>
      </c>
      <c r="C9" s="121">
        <f ca="1">ROUND(D9*E9,0)</f>
        <v>14008</v>
      </c>
      <c r="D9" s="566">
        <f ca="1">IF(B1="",'数据-汇总表'!E5,IF(INDIRECT("'数据-取费表'!c"&amp;$G$1)="住宅",INDIRECT("'数据-取费表'!k"&amp;$G$1),0))</f>
        <v>87.55</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17510</v>
      </c>
      <c r="D19" s="108">
        <f ca="1">D9+D10</f>
        <v>87.55</v>
      </c>
      <c r="E19" s="107">
        <f>'数据-取费表'!B31</f>
        <v>200</v>
      </c>
      <c r="F19" s="127"/>
      <c r="G19" s="1375"/>
    </row>
    <row r="20" spans="1:7" s="110" customFormat="1" ht="13.5" customHeight="1">
      <c r="A20" s="151" t="s">
        <v>1518</v>
      </c>
      <c r="B20" s="106" t="s">
        <v>1519</v>
      </c>
      <c r="C20" s="128">
        <f ca="1">ROUND((C5+C19)*F20,0)</f>
        <v>206621</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622963</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619339</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525</v>
      </c>
      <c r="D24" s="134"/>
      <c r="E24" s="134"/>
      <c r="F24" s="135"/>
      <c r="G24" s="136" t="s">
        <v>1530</v>
      </c>
    </row>
    <row r="25" spans="1:7" s="110" customFormat="1" ht="24">
      <c r="A25" s="541" t="s">
        <v>1450</v>
      </c>
      <c r="B25" s="111" t="s">
        <v>1531</v>
      </c>
      <c r="C25" s="134">
        <f ca="1">ROUND(IF('数据-取费表'!B22&lt;=1,C20*F22*'数据-取费表'!B22/2,C20*(POWER((1+F22),'数据-取费表'!B22/2)-1)),0)</f>
        <v>3099</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6.4">
      <c r="A27" s="151" t="s">
        <v>1462</v>
      </c>
      <c r="B27" s="140" t="s">
        <v>1463</v>
      </c>
      <c r="C27" s="141">
        <f ca="1">C28</f>
        <v>2504250</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2504250</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24858554</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365522</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306425</v>
      </c>
      <c r="D34" s="113"/>
      <c r="E34" s="116"/>
      <c r="F34" s="153"/>
      <c r="G34" s="115"/>
    </row>
    <row r="35" spans="1:7" ht="13.5" customHeight="1">
      <c r="A35" s="541" t="s">
        <v>349</v>
      </c>
      <c r="B35" s="111" t="s">
        <v>1475</v>
      </c>
      <c r="C35" s="116">
        <f ca="1">ROUND(C34*F35,0)</f>
        <v>15321</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6129</v>
      </c>
      <c r="D36" s="116"/>
      <c r="E36" s="116"/>
      <c r="F36" s="155">
        <f>'数据-取费表'!B34</f>
        <v>0.02</v>
      </c>
      <c r="G36" s="156" t="s">
        <v>1478</v>
      </c>
    </row>
    <row r="37" spans="1:7" s="154" customFormat="1" ht="13.5" customHeight="1">
      <c r="A37" s="541" t="s">
        <v>351</v>
      </c>
      <c r="B37" s="111" t="s">
        <v>1479</v>
      </c>
      <c r="C37" s="145">
        <f ca="1">ROUND(E37*D37,0)</f>
        <v>31518</v>
      </c>
      <c r="D37" s="113">
        <f ca="1">D19</f>
        <v>87.55</v>
      </c>
      <c r="E37" s="145">
        <f>'数据-取费表'!B35</f>
        <v>360</v>
      </c>
      <c r="F37" s="155"/>
      <c r="G37" s="157"/>
    </row>
    <row r="38" spans="1:7" ht="13.5" customHeight="1">
      <c r="A38" s="541" t="s">
        <v>352</v>
      </c>
      <c r="B38" s="111" t="s">
        <v>1481</v>
      </c>
      <c r="C38" s="116">
        <f ca="1">ROUND(C34*F38,0)</f>
        <v>6129</v>
      </c>
      <c r="D38" s="116"/>
      <c r="E38" s="116"/>
      <c r="F38" s="155">
        <f>'数据-取费表'!B36</f>
        <v>0.02</v>
      </c>
      <c r="G38" s="115" t="s">
        <v>1476</v>
      </c>
    </row>
    <row r="39" spans="1:7" s="110" customFormat="1" ht="13.5" customHeight="1">
      <c r="A39" s="151" t="s">
        <v>1482</v>
      </c>
      <c r="B39" s="106" t="s">
        <v>1483</v>
      </c>
      <c r="C39" s="128">
        <f ca="1">ROUND(C33*F20,0)</f>
        <v>3655</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5538</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5483</v>
      </c>
      <c r="D42" s="134"/>
      <c r="E42" s="134"/>
      <c r="F42" s="135"/>
      <c r="G42" s="4348" t="s">
        <v>1535</v>
      </c>
    </row>
    <row r="43" spans="1:7" ht="13.5" customHeight="1">
      <c r="A43" s="541" t="s">
        <v>345</v>
      </c>
      <c r="B43" s="111" t="s">
        <v>1492</v>
      </c>
      <c r="C43" s="134">
        <f ca="1">ROUND(IF('数据-取费表'!B22&lt;=1,C39*F22*'数据-取费表'!B20/2,C39*(POWER((1+F22),'数据-取费表'!B20/2)-1)),0)</f>
        <v>55</v>
      </c>
      <c r="D43" s="134"/>
      <c r="E43" s="134"/>
      <c r="F43" s="135"/>
      <c r="G43" s="4350"/>
    </row>
    <row r="44" spans="1:7" ht="13.5" customHeight="1">
      <c r="A44" s="541" t="s">
        <v>346</v>
      </c>
      <c r="B44" s="111" t="s">
        <v>1493</v>
      </c>
      <c r="C44" s="134">
        <f ca="1">ROUND(IF('数据-取费表'!B22&lt;=1,C40*F22*'数据-取费表'!B20/2,C40*(POWER((1+F22),'数据-取费表'!B20/2)-1)),4)</f>
        <v>5.0000000000000001E-4</v>
      </c>
      <c r="D44" s="134"/>
      <c r="E44" s="134"/>
      <c r="F44" s="135"/>
      <c r="G44" s="4349"/>
    </row>
    <row r="45" spans="1:7" s="110" customFormat="1" ht="13.5" customHeight="1">
      <c r="A45" s="151" t="s">
        <v>1494</v>
      </c>
      <c r="B45" s="140" t="s">
        <v>1463</v>
      </c>
      <c r="C45" s="141">
        <f ca="1">C46</f>
        <v>44301</v>
      </c>
      <c r="D45" s="131">
        <f ca="1">C47</f>
        <v>3.5999999999999999E-3</v>
      </c>
      <c r="E45" s="132" t="s">
        <v>1487</v>
      </c>
      <c r="F45" s="142">
        <f ca="1">F27</f>
        <v>0.12</v>
      </c>
      <c r="G45" s="143" t="s">
        <v>1495</v>
      </c>
    </row>
    <row r="46" spans="1:7" s="110" customFormat="1" ht="13.5" customHeight="1">
      <c r="A46" s="541" t="s">
        <v>344</v>
      </c>
      <c r="B46" s="144" t="s">
        <v>1496</v>
      </c>
      <c r="C46" s="145">
        <f ca="1">ROUND((C33+C39)*F27,0)</f>
        <v>44301</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434079</v>
      </c>
      <c r="D49" s="128"/>
      <c r="E49" s="128"/>
      <c r="F49" s="160"/>
      <c r="G49" s="130" t="s">
        <v>1500</v>
      </c>
    </row>
    <row r="50" spans="1:7" s="154" customFormat="1">
      <c r="A50" s="151" t="s">
        <v>1501</v>
      </c>
      <c r="B50" s="106" t="s">
        <v>1502</v>
      </c>
      <c r="C50" s="128"/>
      <c r="D50" s="128"/>
      <c r="E50" s="128"/>
      <c r="F50" s="160">
        <f>IF('数据-取费表'!B24=0,'数据-取费表'!N16,1)</f>
        <v>0.7</v>
      </c>
      <c r="G50" s="143"/>
    </row>
    <row r="51" spans="1:7" ht="16.5" customHeight="1">
      <c r="A51" s="151" t="s">
        <v>1503</v>
      </c>
      <c r="B51" s="106" t="s">
        <v>1537</v>
      </c>
      <c r="C51" s="128">
        <f ca="1">ROUND(C49*F50,0)</f>
        <v>303855</v>
      </c>
      <c r="D51" s="128"/>
      <c r="E51" s="128"/>
      <c r="F51" s="160"/>
      <c r="G51" s="130" t="s">
        <v>1504</v>
      </c>
    </row>
    <row r="52" spans="1:7" s="104" customFormat="1" ht="16.8" thickBot="1">
      <c r="A52" s="161" t="s">
        <v>1505</v>
      </c>
      <c r="B52" s="162"/>
      <c r="C52" s="163">
        <f ca="1">C31+C51</f>
        <v>25162409</v>
      </c>
      <c r="D52" s="162"/>
      <c r="E52" s="162"/>
      <c r="F52" s="162"/>
      <c r="G52" s="164"/>
    </row>
    <row r="55" spans="1:7" ht="15">
      <c r="B55" s="166" t="s">
        <v>1506</v>
      </c>
      <c r="C55" s="167"/>
    </row>
    <row r="56" spans="1:7">
      <c r="B56" s="169" t="s">
        <v>788</v>
      </c>
      <c r="C56" s="171">
        <f ca="1">1-C57</f>
        <v>0.98799999999999999</v>
      </c>
    </row>
    <row r="57" spans="1:7">
      <c r="B57" s="169" t="s">
        <v>789</v>
      </c>
      <c r="C57" s="170">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71" t="s">
        <v>391</v>
      </c>
      <c r="B7" s="4353" t="s">
        <v>3841</v>
      </c>
      <c r="C7" s="4355">
        <f ca="1">ROUND(F6*F7*F8/10000,2)</f>
        <v>0</v>
      </c>
      <c r="D7" s="4356" t="s">
        <v>3508</v>
      </c>
      <c r="E7" s="746" t="s">
        <v>683</v>
      </c>
      <c r="F7" s="3601">
        <f ca="1">IF(INDIRECT("'数据-取费表'!ah"&amp;$G$1)="",INDIRECT("'数据-取费表'!k"&amp;$G$1),INDIRECT("'数据-取费表'!ah"&amp;$G$1))</f>
        <v>0</v>
      </c>
      <c r="G7" s="972"/>
      <c r="H7" s="4371" t="s">
        <v>391</v>
      </c>
      <c r="I7" s="4353" t="s">
        <v>3841</v>
      </c>
      <c r="J7" s="4373">
        <f ca="1">ROUND(M6*M8*M7/10000,2)</f>
        <v>0</v>
      </c>
      <c r="K7" s="4356" t="s">
        <v>3508</v>
      </c>
      <c r="L7" s="187" t="s">
        <v>683</v>
      </c>
      <c r="M7" s="3603">
        <f ca="1">F7</f>
        <v>0</v>
      </c>
    </row>
    <row r="8" spans="1:37" ht="18" customHeight="1">
      <c r="A8" s="4372"/>
      <c r="B8" s="4354"/>
      <c r="C8" s="4355"/>
      <c r="D8" s="4356"/>
      <c r="E8" s="187" t="s">
        <v>684</v>
      </c>
      <c r="F8" s="3601">
        <f ca="1">INDIRECT("'数据-取费表'!ai"&amp;$G$1)</f>
        <v>0</v>
      </c>
      <c r="G8" s="972"/>
      <c r="H8" s="4372"/>
      <c r="I8" s="4354"/>
      <c r="J8" s="4373"/>
      <c r="K8" s="4356"/>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66" t="s">
        <v>760</v>
      </c>
      <c r="C25" s="4367">
        <f ca="1">IF(C5&lt;&gt;0,ROUND(C24*(1-((1+F27)/(1+F25))^F26)/(F25-F27),0),0)</f>
        <v>0</v>
      </c>
      <c r="D25" s="208" t="s">
        <v>744</v>
      </c>
      <c r="E25" s="187" t="s">
        <v>745</v>
      </c>
      <c r="F25" s="2885">
        <f ca="1">INDIRECT("'数据-取费表'!I"&amp;$G$1)</f>
        <v>0</v>
      </c>
      <c r="G25" s="972"/>
      <c r="H25" s="4357" t="s">
        <v>3720</v>
      </c>
      <c r="I25" s="4360" t="s">
        <v>743</v>
      </c>
      <c r="J25" s="4363">
        <f ca="1">IF(J5&lt;&gt;0,ROUND(J24*(1-((1+M27)/(1+M25))^M26)/(M25-M27),0),0)</f>
        <v>0</v>
      </c>
      <c r="K25" s="208" t="s">
        <v>744</v>
      </c>
      <c r="L25" s="198" t="s">
        <v>745</v>
      </c>
      <c r="M25" s="199">
        <f ca="1">INDIRECT("'数据-取费表'!I"&amp;$G$1)</f>
        <v>0</v>
      </c>
    </row>
    <row r="26" spans="1:37">
      <c r="A26" s="2903"/>
      <c r="B26" s="4366"/>
      <c r="C26" s="4367"/>
      <c r="D26" s="215" t="s">
        <v>761</v>
      </c>
      <c r="E26" s="187" t="s">
        <v>749</v>
      </c>
      <c r="F26" s="2887">
        <f ca="1">IF(INDIRECT("'数据-取费表'!af"&amp;$G$1)=0,INDIRECT("'数据-取费表'!ae"&amp;$G$1),INDIRECT("'数据-取费表'!af"&amp;$G$1))</f>
        <v>0</v>
      </c>
      <c r="G26" s="972"/>
      <c r="H26" s="4358"/>
      <c r="I26" s="4361"/>
      <c r="J26" s="4364"/>
      <c r="K26" s="936" t="s">
        <v>748</v>
      </c>
      <c r="L26" s="187" t="s">
        <v>749</v>
      </c>
      <c r="M26" s="216">
        <f ca="1">INDIRECT("'数据-取费表'!ag"&amp;$G$1)</f>
        <v>0</v>
      </c>
    </row>
    <row r="27" spans="1:37" ht="18" customHeight="1">
      <c r="A27" s="1018"/>
      <c r="B27" s="4366"/>
      <c r="C27" s="4367"/>
      <c r="D27" s="211"/>
      <c r="E27" s="187" t="s">
        <v>752</v>
      </c>
      <c r="F27" s="2885">
        <f ca="1">INDIRECT("'数据-取费表'!v"&amp;$G$1)</f>
        <v>0</v>
      </c>
      <c r="G27" s="972"/>
      <c r="H27" s="4359"/>
      <c r="I27" s="4362"/>
      <c r="J27" s="4365"/>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0.02</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0.02</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t="e">
        <f ca="1">IF(D2="含税",C78-C28,C75-C25)</f>
        <v>#VALUE!</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68" t="s">
        <v>3841</v>
      </c>
      <c r="C55" s="4369">
        <f ca="1">ROUND(F54*F56*F55/10000,2)</f>
        <v>0</v>
      </c>
      <c r="D55" s="4356"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68"/>
      <c r="C56" s="4370"/>
      <c r="D56" s="4356"/>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51" t="s">
        <v>823</v>
      </c>
      <c r="L58" s="4352"/>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t="e">
        <f ca="1">ROUND(C62+C69+C71+C73,0)</f>
        <v>#VALUE!</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t="e">
        <f ca="1">ROUND(IF(AND(项目基本情况!B11="自然人",项目基本情况!B10="北京市",M52="住宅"),C54*F62,C63+C66+C67),2)</f>
        <v>#VALUE!</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t="str">
        <f ca="1">IF(项目基本情况!B11="自然人","——",IF(D66="按不含税租金收入计税",ROUND(C54*F66/(1+'数据-取费表'!C43),2),IF(D66="按房产原值计税",ROUND(F69*F66*0.7,2),INDIRECT("'数据-取费表'!Aj"&amp;$G$1))))</f>
        <v>——</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t="str">
        <f>IF(项目基本情况!B11="自然人","——",ROUND(F67*F68/10000,2))</f>
        <v>——</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t="e">
        <f ca="1">C53-C61</f>
        <v>#VALUE!</v>
      </c>
      <c r="D74" s="667" t="s">
        <v>739</v>
      </c>
      <c r="E74" s="672"/>
      <c r="F74" s="2886"/>
      <c r="O74" s="1013"/>
      <c r="P74" s="1005"/>
      <c r="Q74" s="3193"/>
      <c r="R74" s="1006"/>
    </row>
    <row r="75" spans="1:18" s="972" customFormat="1" ht="16.2" thickBot="1">
      <c r="A75" s="3374" t="s">
        <v>3852</v>
      </c>
      <c r="B75" s="652" t="s">
        <v>760</v>
      </c>
      <c r="C75" s="3203" t="e">
        <f ca="1">ROUND(C74*(1-((1+F77)/(1+F75))^F76)/(F75-F77),0)</f>
        <v>#VALUE!</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t="e">
        <f ca="1">ROUND(C75*(1+F28),0)</f>
        <v>#VALUE!</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#VALUE!</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60" zoomScaleSheetLayoutView="90" workbookViewId="0">
      <selection activeCell="L41" sqref="L4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3947</v>
      </c>
      <c r="F1" s="1390" t="s">
        <v>3968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616.22069999999997</v>
      </c>
      <c r="C2" s="2908" t="s">
        <v>3949</v>
      </c>
      <c r="D2" s="3941">
        <f>IF(E1="项目模式",IF(E2="——",ROUND(C49*D3/10000,0),ROUND(C49*D3/10000,0)-F2),IF(E1="单套模式",IF(E2="——",ROUND(C49*D3/10000,4),ROUND(C49*D3/10000,4)-F2)))</f>
        <v>616.22069999999997</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70385</v>
      </c>
      <c r="C3" s="235" t="s">
        <v>1582</v>
      </c>
      <c r="D3" s="3004">
        <f>IF(D1="",'数据-汇总表'!E3,SUMIF('数据-汇总表'!$C19:$C33,D1,'数据-汇总表'!$E19:$E33))</f>
        <v>87.55</v>
      </c>
      <c r="E3" s="3385" t="s">
        <v>3997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394" t="s">
        <v>1584</v>
      </c>
      <c r="D4" s="4395"/>
      <c r="E4" s="4396" t="s">
        <v>1585</v>
      </c>
      <c r="F4" s="4397"/>
      <c r="G4" s="4394" t="s">
        <v>1586</v>
      </c>
      <c r="H4" s="4395"/>
      <c r="I4" s="4394" t="s">
        <v>1587</v>
      </c>
      <c r="J4" s="4395"/>
      <c r="K4" s="2933" t="s">
        <v>1588</v>
      </c>
      <c r="L4" s="2020"/>
      <c r="M4" s="2021"/>
      <c r="N4" s="2021"/>
      <c r="O4" s="2021"/>
      <c r="P4" s="4398" t="s">
        <v>1589</v>
      </c>
      <c r="Q4" s="4399"/>
      <c r="R4" s="4379" t="s">
        <v>1585</v>
      </c>
      <c r="S4" s="4380"/>
      <c r="T4" s="4379" t="s">
        <v>1586</v>
      </c>
      <c r="U4" s="4380"/>
      <c r="V4" s="4406" t="s">
        <v>1587</v>
      </c>
      <c r="W4" s="4406"/>
      <c r="X4" s="946"/>
      <c r="Y4" s="4409" t="s">
        <v>1589</v>
      </c>
      <c r="Z4" s="4410"/>
      <c r="AA4" s="4374" t="s">
        <v>1585</v>
      </c>
      <c r="AB4" s="4374" t="s">
        <v>1586</v>
      </c>
      <c r="AC4" s="4374" t="s">
        <v>1587</v>
      </c>
    </row>
    <row r="5" spans="1:29">
      <c r="A5" s="239"/>
      <c r="B5" s="240"/>
      <c r="C5" s="4385" t="s">
        <v>1590</v>
      </c>
      <c r="D5" s="4386"/>
      <c r="E5" s="4383" t="s">
        <v>1591</v>
      </c>
      <c r="F5" s="4384"/>
      <c r="G5" s="4385" t="s">
        <v>1592</v>
      </c>
      <c r="H5" s="4386"/>
      <c r="I5" s="4385" t="s">
        <v>1593</v>
      </c>
      <c r="J5" s="4386"/>
      <c r="K5" s="2934"/>
      <c r="L5" s="2020"/>
      <c r="M5" s="2021"/>
      <c r="N5" s="2021"/>
      <c r="O5" s="2021"/>
      <c r="P5" s="4400"/>
      <c r="Q5" s="4401"/>
      <c r="R5" s="4381"/>
      <c r="S5" s="4382"/>
      <c r="T5" s="4381"/>
      <c r="U5" s="4382"/>
      <c r="V5" s="4406"/>
      <c r="W5" s="4406"/>
      <c r="X5" s="946"/>
      <c r="Y5" s="4411"/>
      <c r="Z5" s="4412"/>
      <c r="AA5" s="4375"/>
      <c r="AB5" s="4375"/>
      <c r="AC5" s="4375"/>
    </row>
    <row r="6" spans="1:29" ht="15" thickBot="1">
      <c r="A6" s="241"/>
      <c r="B6" s="242"/>
      <c r="C6" s="4387" t="s">
        <v>4096</v>
      </c>
      <c r="D6" s="4388"/>
      <c r="E6" s="4389" t="str">
        <f>案例!E15</f>
        <v>安华西里一区24号楼9层906</v>
      </c>
      <c r="F6" s="4390"/>
      <c r="G6" s="4391" t="str">
        <f>案例!E18</f>
        <v>安华西里一区2号楼8层801</v>
      </c>
      <c r="H6" s="4388"/>
      <c r="I6" s="4387" t="str">
        <f>案例!E19</f>
        <v>安华西里一区27号楼3层307</v>
      </c>
      <c r="J6" s="4388"/>
      <c r="K6" s="2934" t="s">
        <v>1595</v>
      </c>
      <c r="L6" s="2020"/>
      <c r="M6" s="2021"/>
      <c r="N6" s="2021"/>
      <c r="O6" s="2021"/>
      <c r="P6" s="4402"/>
      <c r="Q6" s="4403"/>
      <c r="R6" s="4381"/>
      <c r="S6" s="4382"/>
      <c r="T6" s="4404"/>
      <c r="U6" s="4405"/>
      <c r="V6" s="4406"/>
      <c r="W6" s="4406"/>
      <c r="X6" s="946"/>
      <c r="Y6" s="4413"/>
      <c r="Z6" s="4414"/>
      <c r="AA6" s="4376"/>
      <c r="AB6" s="4376"/>
      <c r="AC6" s="4376"/>
    </row>
    <row r="7" spans="1:29" s="46" customFormat="1" ht="15" thickBot="1">
      <c r="A7" s="243" t="s">
        <v>1596</v>
      </c>
      <c r="B7" s="244"/>
      <c r="C7" s="2935">
        <f>'数据-取费表'!B2</f>
        <v>46100</v>
      </c>
      <c r="D7" s="3009">
        <v>100</v>
      </c>
      <c r="E7" s="2964">
        <f>案例!T15</f>
        <v>46028</v>
      </c>
      <c r="F7" s="3943">
        <f>SUMIF(58:58,YEAR(E7)&amp;"-"&amp;MONTH(E7),59:59)</f>
        <v>100</v>
      </c>
      <c r="G7" s="2964">
        <f>案例!T18</f>
        <v>45965</v>
      </c>
      <c r="H7" s="3955">
        <f>SUMIF(58:58,YEAR(G7)&amp;"-"&amp;MONTH(G7),59:59)</f>
        <v>100.5</v>
      </c>
      <c r="I7" s="2964">
        <f>案例!T19</f>
        <v>45917</v>
      </c>
      <c r="J7" s="3955">
        <f>SUMIF(58:58,YEAR(I7)&amp;"-"&amp;MONTH(I7),59:59)</f>
        <v>101</v>
      </c>
      <c r="K7" s="2926"/>
      <c r="L7" s="2022"/>
      <c r="M7" s="1973"/>
      <c r="N7" s="1973"/>
      <c r="O7" s="1973"/>
      <c r="P7" s="4407" t="s">
        <v>1597</v>
      </c>
      <c r="Q7" s="4415"/>
      <c r="R7" s="3855" t="s">
        <v>18</v>
      </c>
      <c r="S7" s="3327">
        <f t="shared" ref="S7:S15" si="0">F7</f>
        <v>100</v>
      </c>
      <c r="T7" s="3855" t="s">
        <v>18</v>
      </c>
      <c r="U7" s="3327">
        <f t="shared" ref="U7:U15" si="1">H7</f>
        <v>100.5</v>
      </c>
      <c r="V7" s="3855" t="s">
        <v>18</v>
      </c>
      <c r="W7" s="3327">
        <f t="shared" ref="W7:W15" si="2">J7</f>
        <v>101</v>
      </c>
      <c r="X7" s="493"/>
      <c r="Y7" s="4377" t="s">
        <v>1597</v>
      </c>
      <c r="Z7" s="4378"/>
      <c r="AA7" s="28">
        <f>D7/F7</f>
        <v>1</v>
      </c>
      <c r="AB7" s="28">
        <f>D7/H7</f>
        <v>0.99502487562189057</v>
      </c>
      <c r="AC7" s="28">
        <f>D7/J7</f>
        <v>0.99009900990099009</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07" t="s">
        <v>1600</v>
      </c>
      <c r="Q8" s="4408"/>
      <c r="R8" s="3855" t="s">
        <v>18</v>
      </c>
      <c r="S8" s="3327">
        <f t="shared" si="0"/>
        <v>100</v>
      </c>
      <c r="T8" s="3855" t="s">
        <v>18</v>
      </c>
      <c r="U8" s="3327">
        <f t="shared" si="1"/>
        <v>100</v>
      </c>
      <c r="V8" s="3855" t="s">
        <v>18</v>
      </c>
      <c r="W8" s="3327">
        <f t="shared" si="2"/>
        <v>100</v>
      </c>
      <c r="X8" s="493"/>
      <c r="Y8" s="4377" t="s">
        <v>1600</v>
      </c>
      <c r="Z8" s="4378"/>
      <c r="AA8" s="28">
        <f t="shared" ref="AA8:AA19" si="3">D8/F8</f>
        <v>1</v>
      </c>
      <c r="AB8" s="28">
        <f t="shared" ref="AB8:AB19" si="4">D8/H8</f>
        <v>1</v>
      </c>
      <c r="AC8" s="28">
        <f t="shared" ref="AC8:AC19" si="5">D8/J8</f>
        <v>1</v>
      </c>
    </row>
    <row r="9" spans="1:29" s="46" customFormat="1" ht="14.4">
      <c r="A9" s="248" t="s">
        <v>1601</v>
      </c>
      <c r="B9" s="2916" t="s">
        <v>1602</v>
      </c>
      <c r="C9" s="4127" t="s">
        <v>3990</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2" t="s">
        <v>1603</v>
      </c>
      <c r="Q9" s="1742" t="str">
        <f t="shared" ref="Q9:Q15" si="6">B9</f>
        <v>用途</v>
      </c>
      <c r="R9" s="3855" t="s">
        <v>13</v>
      </c>
      <c r="S9" s="3327">
        <f t="shared" si="0"/>
        <v>100</v>
      </c>
      <c r="T9" s="3855" t="s">
        <v>13</v>
      </c>
      <c r="U9" s="3327">
        <f t="shared" si="1"/>
        <v>100</v>
      </c>
      <c r="V9" s="3855" t="s">
        <v>13</v>
      </c>
      <c r="W9" s="3327">
        <f t="shared" si="2"/>
        <v>100</v>
      </c>
      <c r="X9" s="493"/>
      <c r="Y9" s="439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2"/>
      <c r="Q10" s="1742" t="str">
        <f t="shared" si="6"/>
        <v>土地使用年限（年）</v>
      </c>
      <c r="R10" s="3855" t="s">
        <v>13</v>
      </c>
      <c r="S10" s="3327">
        <f t="shared" si="0"/>
        <v>100</v>
      </c>
      <c r="T10" s="3855" t="s">
        <v>13</v>
      </c>
      <c r="U10" s="3327">
        <f t="shared" si="1"/>
        <v>100</v>
      </c>
      <c r="V10" s="3855" t="s">
        <v>13</v>
      </c>
      <c r="W10" s="3327">
        <f t="shared" si="2"/>
        <v>100</v>
      </c>
      <c r="X10" s="493"/>
      <c r="Y10" s="4393"/>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2"/>
      <c r="Q11" s="1742" t="str">
        <f t="shared" si="6"/>
        <v>容积率</v>
      </c>
      <c r="R11" s="3855" t="s">
        <v>16</v>
      </c>
      <c r="S11" s="3327">
        <f t="shared" si="0"/>
        <v>100</v>
      </c>
      <c r="T11" s="3855" t="s">
        <v>16</v>
      </c>
      <c r="U11" s="3327">
        <f t="shared" si="1"/>
        <v>100</v>
      </c>
      <c r="V11" s="3855" t="s">
        <v>16</v>
      </c>
      <c r="W11" s="3327">
        <f t="shared" si="2"/>
        <v>100</v>
      </c>
      <c r="X11" s="493"/>
      <c r="Y11" s="4393"/>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2"/>
      <c r="Q12" s="1742">
        <f t="shared" si="6"/>
        <v>111</v>
      </c>
      <c r="R12" s="3855" t="s">
        <v>16</v>
      </c>
      <c r="S12" s="3327">
        <f t="shared" si="0"/>
        <v>100</v>
      </c>
      <c r="T12" s="3855" t="s">
        <v>16</v>
      </c>
      <c r="U12" s="3327">
        <f t="shared" si="1"/>
        <v>100</v>
      </c>
      <c r="V12" s="3855" t="s">
        <v>16</v>
      </c>
      <c r="W12" s="3327">
        <f t="shared" si="2"/>
        <v>100</v>
      </c>
      <c r="X12" s="493"/>
      <c r="Y12" s="439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2"/>
      <c r="Q13" s="1742">
        <f t="shared" si="6"/>
        <v>111</v>
      </c>
      <c r="R13" s="3855" t="s">
        <v>16</v>
      </c>
      <c r="S13" s="3327">
        <f t="shared" si="0"/>
        <v>100</v>
      </c>
      <c r="T13" s="3855" t="s">
        <v>16</v>
      </c>
      <c r="U13" s="3327">
        <f t="shared" si="1"/>
        <v>100</v>
      </c>
      <c r="V13" s="3855" t="s">
        <v>16</v>
      </c>
      <c r="W13" s="3327">
        <f t="shared" si="2"/>
        <v>100</v>
      </c>
      <c r="X13" s="493"/>
      <c r="Y13" s="4393"/>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2"/>
      <c r="Q14" s="1742">
        <f t="shared" si="6"/>
        <v>111</v>
      </c>
      <c r="R14" s="3855" t="s">
        <v>16</v>
      </c>
      <c r="S14" s="3327">
        <f t="shared" si="0"/>
        <v>100</v>
      </c>
      <c r="T14" s="3855" t="s">
        <v>16</v>
      </c>
      <c r="U14" s="3327">
        <f t="shared" si="1"/>
        <v>100</v>
      </c>
      <c r="V14" s="3855" t="s">
        <v>16</v>
      </c>
      <c r="W14" s="3327">
        <f t="shared" si="2"/>
        <v>100</v>
      </c>
      <c r="X14" s="493"/>
      <c r="Y14" s="4393"/>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28" t="s">
        <v>1608</v>
      </c>
      <c r="Q15" s="1544" t="str">
        <f t="shared" si="6"/>
        <v>居住社区成熟度</v>
      </c>
      <c r="R15" s="3961" t="s">
        <v>16</v>
      </c>
      <c r="S15" s="3328">
        <f t="shared" si="0"/>
        <v>100</v>
      </c>
      <c r="T15" s="3961" t="s">
        <v>16</v>
      </c>
      <c r="U15" s="3328">
        <f t="shared" si="1"/>
        <v>100</v>
      </c>
      <c r="V15" s="3961" t="s">
        <v>16</v>
      </c>
      <c r="W15" s="3328">
        <f t="shared" si="2"/>
        <v>100</v>
      </c>
      <c r="X15" s="946"/>
      <c r="Y15" s="4421"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29"/>
      <c r="Q16" s="1544"/>
      <c r="R16" s="3961"/>
      <c r="S16" s="3328"/>
      <c r="T16" s="3961"/>
      <c r="U16" s="3328"/>
      <c r="V16" s="3961"/>
      <c r="W16" s="3328"/>
      <c r="X16" s="946"/>
      <c r="Y16" s="442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29"/>
      <c r="Q17" s="1544" t="str">
        <f>B17</f>
        <v>交通便捷度</v>
      </c>
      <c r="R17" s="3961" t="s">
        <v>16</v>
      </c>
      <c r="S17" s="3328">
        <f>F17</f>
        <v>100</v>
      </c>
      <c r="T17" s="3961" t="s">
        <v>16</v>
      </c>
      <c r="U17" s="3328">
        <f>H17</f>
        <v>100</v>
      </c>
      <c r="V17" s="3961" t="s">
        <v>16</v>
      </c>
      <c r="W17" s="3328">
        <f>J17</f>
        <v>100</v>
      </c>
      <c r="X17" s="946"/>
      <c r="Y17" s="4422"/>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29"/>
      <c r="Q18" s="1544"/>
      <c r="R18" s="3961"/>
      <c r="S18" s="3328"/>
      <c r="T18" s="3961"/>
      <c r="U18" s="3328"/>
      <c r="V18" s="3961"/>
      <c r="W18" s="3328"/>
      <c r="X18" s="946"/>
      <c r="Y18" s="4422"/>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29"/>
      <c r="Q19" s="1544" t="str">
        <f>B19</f>
        <v>公共配套设施</v>
      </c>
      <c r="R19" s="3961" t="s">
        <v>16</v>
      </c>
      <c r="S19" s="3328">
        <f>F19</f>
        <v>100</v>
      </c>
      <c r="T19" s="3961" t="s">
        <v>16</v>
      </c>
      <c r="U19" s="3328">
        <f>H19</f>
        <v>100</v>
      </c>
      <c r="V19" s="3961" t="s">
        <v>16</v>
      </c>
      <c r="W19" s="3328">
        <f>J19</f>
        <v>100</v>
      </c>
      <c r="X19" s="946"/>
      <c r="Y19" s="4422"/>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29"/>
      <c r="Q20" s="1544"/>
      <c r="R20" s="3961"/>
      <c r="S20" s="3328"/>
      <c r="T20" s="3961"/>
      <c r="U20" s="3328"/>
      <c r="V20" s="3961"/>
      <c r="W20" s="3328"/>
      <c r="X20" s="946"/>
      <c r="Y20" s="4422"/>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29"/>
      <c r="Q21" s="1544" t="str">
        <f>B21</f>
        <v>基础设施水平</v>
      </c>
      <c r="R21" s="3961" t="s">
        <v>13</v>
      </c>
      <c r="S21" s="3328">
        <f>F21</f>
        <v>100</v>
      </c>
      <c r="T21" s="3961" t="s">
        <v>13</v>
      </c>
      <c r="U21" s="3328">
        <f>H21</f>
        <v>100</v>
      </c>
      <c r="V21" s="3961" t="s">
        <v>13</v>
      </c>
      <c r="W21" s="3328">
        <f>J21</f>
        <v>100</v>
      </c>
      <c r="X21" s="946"/>
      <c r="Y21" s="442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29"/>
      <c r="Q22" s="1544"/>
      <c r="R22" s="3961"/>
      <c r="S22" s="3328"/>
      <c r="T22" s="3961"/>
      <c r="U22" s="3328"/>
      <c r="V22" s="3961"/>
      <c r="W22" s="3328"/>
      <c r="X22" s="946"/>
      <c r="Y22" s="4422"/>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29"/>
      <c r="Q23" s="1544" t="str">
        <f>B23</f>
        <v>自然及人文环境</v>
      </c>
      <c r="R23" s="3961" t="s">
        <v>16</v>
      </c>
      <c r="S23" s="3328">
        <f>F23</f>
        <v>100</v>
      </c>
      <c r="T23" s="3961" t="s">
        <v>16</v>
      </c>
      <c r="U23" s="3328">
        <f>H23</f>
        <v>100</v>
      </c>
      <c r="V23" s="3961" t="s">
        <v>16</v>
      </c>
      <c r="W23" s="3328">
        <f>J23</f>
        <v>100</v>
      </c>
      <c r="X23" s="946"/>
      <c r="Y23" s="4422"/>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29"/>
      <c r="Q24" s="1544"/>
      <c r="R24" s="3961"/>
      <c r="S24" s="3328"/>
      <c r="T24" s="3961"/>
      <c r="U24" s="3328"/>
      <c r="V24" s="3961"/>
      <c r="W24" s="3328"/>
      <c r="X24" s="946"/>
      <c r="Y24" s="4422"/>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29"/>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22"/>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3927</v>
      </c>
      <c r="F26" s="3951">
        <f>SUMIF(88:88,E26,89:89)-SUMIF(88:88,C26,89:89)+100</f>
        <v>96</v>
      </c>
      <c r="G26" s="2992" t="s">
        <v>3927</v>
      </c>
      <c r="H26" s="3951">
        <f>SUMIF(88:88,G26,89:89)-SUMIF(88:88,C26,89:89)+100</f>
        <v>96</v>
      </c>
      <c r="I26" s="2992" t="s">
        <v>4100</v>
      </c>
      <c r="J26" s="3951">
        <f>SUMIF(88:88,I26,89:89)-SUMIF(88:88,C26,89:89)+100</f>
        <v>94</v>
      </c>
      <c r="K26" s="2927">
        <v>2</v>
      </c>
      <c r="L26" s="2026"/>
      <c r="M26" s="2021"/>
      <c r="N26" s="2021"/>
      <c r="O26" s="2021"/>
      <c r="P26" s="4429"/>
      <c r="Q26" s="1544" t="str">
        <f t="shared" si="11"/>
        <v>朝向</v>
      </c>
      <c r="R26" s="3961" t="s">
        <v>16</v>
      </c>
      <c r="S26" s="3328">
        <f t="shared" si="12"/>
        <v>96</v>
      </c>
      <c r="T26" s="3961" t="s">
        <v>16</v>
      </c>
      <c r="U26" s="3328">
        <f t="shared" si="13"/>
        <v>96</v>
      </c>
      <c r="V26" s="3961" t="s">
        <v>16</v>
      </c>
      <c r="W26" s="3328">
        <f t="shared" si="14"/>
        <v>94</v>
      </c>
      <c r="X26" s="946"/>
      <c r="Y26" s="4422"/>
      <c r="Z26" s="944" t="str">
        <f>Q26</f>
        <v>朝向</v>
      </c>
      <c r="AA26" s="944">
        <f t="shared" si="15"/>
        <v>1.0416666666666667</v>
      </c>
      <c r="AB26" s="944">
        <f t="shared" si="16"/>
        <v>1.0416666666666667</v>
      </c>
      <c r="AC26" s="944">
        <f t="shared" si="17"/>
        <v>1.0638297872340425</v>
      </c>
    </row>
    <row r="27" spans="1:29" s="46" customFormat="1" ht="15">
      <c r="A27" s="258"/>
      <c r="B27" s="4131" t="s">
        <v>3993</v>
      </c>
      <c r="C27" s="2940" t="s">
        <v>4102</v>
      </c>
      <c r="D27" s="3019">
        <v>100</v>
      </c>
      <c r="E27" s="2989" t="s">
        <v>4103</v>
      </c>
      <c r="F27" s="3952">
        <f>SUMIF(90:90,E27,91:91)-SUMIF(90:90,C27,91:91)+100</f>
        <v>100</v>
      </c>
      <c r="G27" s="2995" t="s">
        <v>4104</v>
      </c>
      <c r="H27" s="3952">
        <f>SUMIF(90:90,G27,91:91)-SUMIF(90:90,C27,91:91)+100</f>
        <v>100</v>
      </c>
      <c r="I27" s="2995" t="s">
        <v>4105</v>
      </c>
      <c r="J27" s="3952">
        <f>SUMIF(90:90,I27,91:91)-SUMIF(90:90,C27,91:91)+100</f>
        <v>98</v>
      </c>
      <c r="K27" s="2928"/>
      <c r="L27" s="2022"/>
      <c r="M27" s="1973"/>
      <c r="N27" s="1973"/>
      <c r="O27" s="1973"/>
      <c r="P27" s="4429"/>
      <c r="Q27" s="1742" t="str">
        <f t="shared" si="11"/>
        <v>楼层</v>
      </c>
      <c r="R27" s="3855" t="s">
        <v>16</v>
      </c>
      <c r="S27" s="3327">
        <f t="shared" si="12"/>
        <v>100</v>
      </c>
      <c r="T27" s="3855" t="s">
        <v>16</v>
      </c>
      <c r="U27" s="3327">
        <f t="shared" si="13"/>
        <v>100</v>
      </c>
      <c r="V27" s="3855" t="s">
        <v>16</v>
      </c>
      <c r="W27" s="3327">
        <f t="shared" si="14"/>
        <v>98</v>
      </c>
      <c r="X27" s="493"/>
      <c r="Y27" s="4422"/>
      <c r="Z27" s="28" t="str">
        <f>Q27</f>
        <v>楼层</v>
      </c>
      <c r="AA27" s="944">
        <f t="shared" si="15"/>
        <v>1</v>
      </c>
      <c r="AB27" s="944">
        <f t="shared" si="16"/>
        <v>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29"/>
      <c r="Q28" s="1544">
        <f t="shared" si="11"/>
        <v>111</v>
      </c>
      <c r="R28" s="3961" t="s">
        <v>16</v>
      </c>
      <c r="S28" s="3328">
        <f t="shared" si="12"/>
        <v>100</v>
      </c>
      <c r="T28" s="3961" t="s">
        <v>16</v>
      </c>
      <c r="U28" s="3328">
        <f t="shared" si="13"/>
        <v>100</v>
      </c>
      <c r="V28" s="3961" t="s">
        <v>16</v>
      </c>
      <c r="W28" s="3328">
        <f t="shared" si="14"/>
        <v>100</v>
      </c>
      <c r="X28" s="946"/>
      <c r="Y28" s="4422"/>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29"/>
      <c r="Q29" s="1544">
        <f t="shared" si="11"/>
        <v>111</v>
      </c>
      <c r="R29" s="3961" t="s">
        <v>16</v>
      </c>
      <c r="S29" s="3328">
        <f t="shared" si="12"/>
        <v>100</v>
      </c>
      <c r="T29" s="3961" t="s">
        <v>16</v>
      </c>
      <c r="U29" s="3328">
        <f t="shared" si="13"/>
        <v>100</v>
      </c>
      <c r="V29" s="3961" t="s">
        <v>16</v>
      </c>
      <c r="W29" s="3328">
        <f t="shared" si="14"/>
        <v>100</v>
      </c>
      <c r="X29" s="946"/>
      <c r="Y29" s="4422"/>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29"/>
      <c r="Q30" s="1544">
        <f t="shared" si="11"/>
        <v>111</v>
      </c>
      <c r="R30" s="3961" t="s">
        <v>16</v>
      </c>
      <c r="S30" s="3328">
        <f t="shared" si="12"/>
        <v>100</v>
      </c>
      <c r="T30" s="3961" t="s">
        <v>16</v>
      </c>
      <c r="U30" s="3328">
        <f t="shared" si="13"/>
        <v>100</v>
      </c>
      <c r="V30" s="3961" t="s">
        <v>16</v>
      </c>
      <c r="W30" s="3328">
        <f t="shared" si="14"/>
        <v>100</v>
      </c>
      <c r="X30" s="946"/>
      <c r="Y30" s="4422"/>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29"/>
      <c r="Q31" s="1544">
        <f t="shared" si="11"/>
        <v>111</v>
      </c>
      <c r="R31" s="3961" t="s">
        <v>16</v>
      </c>
      <c r="S31" s="3328">
        <f t="shared" si="12"/>
        <v>100</v>
      </c>
      <c r="T31" s="3961" t="s">
        <v>16</v>
      </c>
      <c r="U31" s="3328">
        <f t="shared" si="13"/>
        <v>100</v>
      </c>
      <c r="V31" s="3961" t="s">
        <v>16</v>
      </c>
      <c r="W31" s="3328">
        <f t="shared" si="14"/>
        <v>100</v>
      </c>
      <c r="X31" s="946"/>
      <c r="Y31" s="4422"/>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c r="L32" s="2026"/>
      <c r="M32" s="2021"/>
      <c r="N32" s="2021"/>
      <c r="O32" s="2021"/>
      <c r="P32" s="4423" t="s">
        <v>1613</v>
      </c>
      <c r="Q32" s="1544" t="str">
        <f t="shared" si="11"/>
        <v>建筑类型</v>
      </c>
      <c r="R32" s="3961" t="s">
        <v>16</v>
      </c>
      <c r="S32" s="3328">
        <f t="shared" si="12"/>
        <v>100</v>
      </c>
      <c r="T32" s="3961" t="s">
        <v>16</v>
      </c>
      <c r="U32" s="3328">
        <f t="shared" si="13"/>
        <v>100</v>
      </c>
      <c r="V32" s="3961" t="s">
        <v>16</v>
      </c>
      <c r="W32" s="3328">
        <f t="shared" si="14"/>
        <v>100</v>
      </c>
      <c r="X32" s="946"/>
      <c r="Y32" s="4426"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案例!I15</f>
        <v>75.95</v>
      </c>
      <c r="F33" s="3945">
        <f>LOOKUP(E33,103:103,104:104)-LOOKUP(C33,103:103,104:104)+100</f>
        <v>101</v>
      </c>
      <c r="G33" s="2938">
        <f>案例!I18</f>
        <v>75.12</v>
      </c>
      <c r="H33" s="3957">
        <f>LOOKUP(G33,103:103,104:104)-LOOKUP(C33,103:103,104:104)+100</f>
        <v>101</v>
      </c>
      <c r="I33" s="2966">
        <f>案例!I19</f>
        <v>75.3</v>
      </c>
      <c r="J33" s="3957">
        <f>LOOKUP(I33,103:103,104:104)-LOOKUP(C33,103:103,104:104)+100</f>
        <v>101</v>
      </c>
      <c r="K33" s="2928"/>
      <c r="L33" s="2025"/>
      <c r="M33" s="2027"/>
      <c r="N33" s="2027"/>
      <c r="O33" s="2027"/>
      <c r="P33" s="4424"/>
      <c r="Q33" s="392" t="str">
        <f t="shared" si="11"/>
        <v>项目建筑规模</v>
      </c>
      <c r="R33" s="3962" t="s">
        <v>16</v>
      </c>
      <c r="S33" s="3329">
        <f t="shared" si="12"/>
        <v>101</v>
      </c>
      <c r="T33" s="3962" t="s">
        <v>16</v>
      </c>
      <c r="U33" s="3329">
        <f t="shared" si="13"/>
        <v>101</v>
      </c>
      <c r="V33" s="3962" t="s">
        <v>16</v>
      </c>
      <c r="W33" s="3329">
        <f t="shared" si="14"/>
        <v>101</v>
      </c>
      <c r="X33" s="494"/>
      <c r="Y33" s="4426"/>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424"/>
      <c r="Q34" s="1544" t="str">
        <f t="shared" si="11"/>
        <v>建筑结构</v>
      </c>
      <c r="R34" s="3961" t="s">
        <v>16</v>
      </c>
      <c r="S34" s="3328">
        <f t="shared" si="12"/>
        <v>100</v>
      </c>
      <c r="T34" s="3961" t="s">
        <v>16</v>
      </c>
      <c r="U34" s="3328">
        <f t="shared" si="13"/>
        <v>100</v>
      </c>
      <c r="V34" s="3961" t="s">
        <v>16</v>
      </c>
      <c r="W34" s="3328">
        <f t="shared" si="14"/>
        <v>100</v>
      </c>
      <c r="X34" s="946"/>
      <c r="Y34" s="4426"/>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24"/>
      <c r="Q35" s="1544" t="str">
        <f t="shared" si="11"/>
        <v>建筑品质</v>
      </c>
      <c r="R35" s="3961" t="s">
        <v>16</v>
      </c>
      <c r="S35" s="3328">
        <f t="shared" si="12"/>
        <v>100</v>
      </c>
      <c r="T35" s="3961" t="s">
        <v>16</v>
      </c>
      <c r="U35" s="3328">
        <f t="shared" si="13"/>
        <v>100</v>
      </c>
      <c r="V35" s="3961" t="s">
        <v>16</v>
      </c>
      <c r="W35" s="3328">
        <f t="shared" si="14"/>
        <v>100</v>
      </c>
      <c r="X35" s="946"/>
      <c r="Y35" s="4426"/>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24"/>
      <c r="Q36" s="1544" t="str">
        <f t="shared" si="11"/>
        <v>公共部分装修</v>
      </c>
      <c r="R36" s="3961" t="s">
        <v>16</v>
      </c>
      <c r="S36" s="3328">
        <f t="shared" si="12"/>
        <v>100</v>
      </c>
      <c r="T36" s="3961" t="s">
        <v>16</v>
      </c>
      <c r="U36" s="3328">
        <f t="shared" si="13"/>
        <v>100</v>
      </c>
      <c r="V36" s="3961" t="s">
        <v>16</v>
      </c>
      <c r="W36" s="3328">
        <f t="shared" si="14"/>
        <v>100</v>
      </c>
      <c r="X36" s="946"/>
      <c r="Y36" s="4426"/>
      <c r="Z36" s="944" t="str">
        <f t="shared" si="18"/>
        <v>公共部分装修</v>
      </c>
      <c r="AA36" s="944">
        <f t="shared" si="15"/>
        <v>1</v>
      </c>
      <c r="AB36" s="944">
        <f t="shared" si="16"/>
        <v>1</v>
      </c>
      <c r="AC36" s="944">
        <f t="shared" si="17"/>
        <v>1</v>
      </c>
    </row>
    <row r="37" spans="1:29" s="46" customFormat="1" ht="15">
      <c r="A37" s="282"/>
      <c r="B37" s="2913" t="s">
        <v>1618</v>
      </c>
      <c r="C37" s="2951">
        <v>0.65</v>
      </c>
      <c r="D37" s="3011">
        <v>100</v>
      </c>
      <c r="E37" s="2951">
        <f>C37</f>
        <v>0.65</v>
      </c>
      <c r="F37" s="3945">
        <f>LOOKUP(E37,112:112,113:113)-LOOKUP(C37,112:112,113:113)+100</f>
        <v>100</v>
      </c>
      <c r="G37" s="2998">
        <v>0.6</v>
      </c>
      <c r="H37" s="3957">
        <f>LOOKUP(G37,112:112,113:113)-LOOKUP(C37,112:112,113:113)+100</f>
        <v>100</v>
      </c>
      <c r="I37" s="2999">
        <f>C37</f>
        <v>0.65</v>
      </c>
      <c r="J37" s="3957">
        <f>LOOKUP(I37,112:112,113:113)-LOOKUP(C37,112:112,113:113)+100</f>
        <v>100</v>
      </c>
      <c r="K37" s="2927"/>
      <c r="L37" s="2022"/>
      <c r="M37" s="1973"/>
      <c r="N37" s="1973"/>
      <c r="O37" s="1973"/>
      <c r="P37" s="4424"/>
      <c r="Q37" s="1742" t="str">
        <f t="shared" si="11"/>
        <v>成新度</v>
      </c>
      <c r="R37" s="3855" t="s">
        <v>16</v>
      </c>
      <c r="S37" s="3327">
        <f t="shared" si="12"/>
        <v>100</v>
      </c>
      <c r="T37" s="3855" t="s">
        <v>16</v>
      </c>
      <c r="U37" s="3327">
        <f t="shared" si="13"/>
        <v>100</v>
      </c>
      <c r="V37" s="3855" t="s">
        <v>16</v>
      </c>
      <c r="W37" s="3327">
        <f t="shared" si="14"/>
        <v>100</v>
      </c>
      <c r="X37" s="493"/>
      <c r="Y37" s="4426"/>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24" t="s">
        <v>1613</v>
      </c>
      <c r="Q38" s="1544" t="str">
        <f t="shared" si="11"/>
        <v>物业管理</v>
      </c>
      <c r="R38" s="3961" t="s">
        <v>16</v>
      </c>
      <c r="S38" s="3328">
        <f t="shared" si="12"/>
        <v>100</v>
      </c>
      <c r="T38" s="3961" t="s">
        <v>16</v>
      </c>
      <c r="U38" s="3328">
        <f t="shared" si="13"/>
        <v>100</v>
      </c>
      <c r="V38" s="3961" t="s">
        <v>16</v>
      </c>
      <c r="W38" s="3328">
        <f t="shared" si="14"/>
        <v>100</v>
      </c>
      <c r="X38" s="946"/>
      <c r="Y38" s="4426"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c r="L39" s="2026"/>
      <c r="M39" s="2021"/>
      <c r="N39" s="2021"/>
      <c r="O39" s="2021"/>
      <c r="P39" s="4424"/>
      <c r="Q39" s="1544" t="str">
        <f t="shared" si="11"/>
        <v>市政基础设施</v>
      </c>
      <c r="R39" s="3961" t="s">
        <v>16</v>
      </c>
      <c r="S39" s="3328">
        <f t="shared" si="12"/>
        <v>100</v>
      </c>
      <c r="T39" s="3961" t="s">
        <v>16</v>
      </c>
      <c r="U39" s="3328">
        <f t="shared" si="13"/>
        <v>100</v>
      </c>
      <c r="V39" s="3961" t="s">
        <v>16</v>
      </c>
      <c r="W39" s="3328">
        <f t="shared" si="14"/>
        <v>100</v>
      </c>
      <c r="X39" s="946"/>
      <c r="Y39" s="4426"/>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24"/>
      <c r="Q40" s="1544" t="str">
        <f t="shared" si="11"/>
        <v>房型</v>
      </c>
      <c r="R40" s="3961" t="s">
        <v>16</v>
      </c>
      <c r="S40" s="3328">
        <f t="shared" si="12"/>
        <v>100</v>
      </c>
      <c r="T40" s="3961" t="s">
        <v>16</v>
      </c>
      <c r="U40" s="3328">
        <f t="shared" si="13"/>
        <v>100</v>
      </c>
      <c r="V40" s="3961" t="s">
        <v>16</v>
      </c>
      <c r="W40" s="3328">
        <f t="shared" si="14"/>
        <v>100</v>
      </c>
      <c r="X40" s="946"/>
      <c r="Y40" s="4426"/>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24"/>
      <c r="Q41" s="392" t="str">
        <f t="shared" si="11"/>
        <v>单套/主力户型建筑面积</v>
      </c>
      <c r="R41" s="3962" t="s">
        <v>16</v>
      </c>
      <c r="S41" s="3329">
        <f t="shared" si="12"/>
        <v>100</v>
      </c>
      <c r="T41" s="3962" t="s">
        <v>16</v>
      </c>
      <c r="U41" s="3329">
        <f t="shared" si="13"/>
        <v>100</v>
      </c>
      <c r="V41" s="3962" t="s">
        <v>16</v>
      </c>
      <c r="W41" s="3329">
        <f t="shared" si="14"/>
        <v>100</v>
      </c>
      <c r="X41" s="494"/>
      <c r="Y41" s="4426"/>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424"/>
      <c r="Q42" s="1544" t="str">
        <f t="shared" si="11"/>
        <v>内部装修</v>
      </c>
      <c r="R42" s="3961" t="s">
        <v>16</v>
      </c>
      <c r="S42" s="3328">
        <f t="shared" si="12"/>
        <v>100</v>
      </c>
      <c r="T42" s="3961" t="s">
        <v>16</v>
      </c>
      <c r="U42" s="3328">
        <f t="shared" si="13"/>
        <v>100</v>
      </c>
      <c r="V42" s="3961" t="s">
        <v>16</v>
      </c>
      <c r="W42" s="3328">
        <f t="shared" si="14"/>
        <v>100</v>
      </c>
      <c r="X42" s="946"/>
      <c r="Y42" s="4426"/>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24"/>
      <c r="Q43" s="1544" t="str">
        <f t="shared" si="11"/>
        <v>内部装修维护情况</v>
      </c>
      <c r="R43" s="3961" t="s">
        <v>16</v>
      </c>
      <c r="S43" s="3328">
        <f t="shared" si="12"/>
        <v>100</v>
      </c>
      <c r="T43" s="3961" t="s">
        <v>16</v>
      </c>
      <c r="U43" s="3328">
        <f t="shared" si="13"/>
        <v>100</v>
      </c>
      <c r="V43" s="3961" t="s">
        <v>16</v>
      </c>
      <c r="W43" s="3328">
        <f t="shared" si="14"/>
        <v>100</v>
      </c>
      <c r="X43" s="946"/>
      <c r="Y43" s="4426"/>
      <c r="Z43" s="944" t="str">
        <f t="shared" si="18"/>
        <v>内部装修维护情况</v>
      </c>
      <c r="AA43" s="944">
        <f t="shared" si="15"/>
        <v>1</v>
      </c>
      <c r="AB43" s="944">
        <f t="shared" si="16"/>
        <v>1</v>
      </c>
      <c r="AC43" s="944">
        <f t="shared" si="17"/>
        <v>1</v>
      </c>
    </row>
    <row r="44" spans="1:29" s="46" customFormat="1" ht="15">
      <c r="A44" s="282"/>
      <c r="B44" s="2924">
        <v>111</v>
      </c>
      <c r="C44" s="2949">
        <v>1990</v>
      </c>
      <c r="D44" s="3011">
        <v>100</v>
      </c>
      <c r="E44" s="2949">
        <v>1993</v>
      </c>
      <c r="F44" s="3945">
        <f>SUMIF(126:126,E44,127:127)-SUMIF(126:126,C44,127:127)+100</f>
        <v>100</v>
      </c>
      <c r="G44" s="2949">
        <v>1985</v>
      </c>
      <c r="H44" s="3957">
        <f>SUMIF(126:126,G44,127:127)-SUMIF(126:126,C44,127:127)+100</f>
        <v>100</v>
      </c>
      <c r="I44" s="2949">
        <v>1990</v>
      </c>
      <c r="J44" s="3957">
        <f>SUMIF(126:126,I44,127:127)-SUMIF(126:126,C44,127:127)+100</f>
        <v>100</v>
      </c>
      <c r="K44" s="2928"/>
      <c r="L44" s="2022"/>
      <c r="M44" s="1973"/>
      <c r="N44" s="1973"/>
      <c r="O44" s="1973"/>
      <c r="P44" s="4424"/>
      <c r="Q44" s="1742">
        <f t="shared" si="11"/>
        <v>111</v>
      </c>
      <c r="R44" s="3855" t="s">
        <v>16</v>
      </c>
      <c r="S44" s="3327">
        <f t="shared" si="12"/>
        <v>100</v>
      </c>
      <c r="T44" s="3855" t="s">
        <v>16</v>
      </c>
      <c r="U44" s="3327">
        <f t="shared" si="13"/>
        <v>100</v>
      </c>
      <c r="V44" s="3855" t="s">
        <v>16</v>
      </c>
      <c r="W44" s="3327">
        <f t="shared" si="14"/>
        <v>100</v>
      </c>
      <c r="X44" s="493"/>
      <c r="Y44" s="4426"/>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24"/>
      <c r="Q45" s="1544">
        <f t="shared" si="11"/>
        <v>111</v>
      </c>
      <c r="R45" s="3961" t="s">
        <v>16</v>
      </c>
      <c r="S45" s="3328">
        <f t="shared" si="12"/>
        <v>100</v>
      </c>
      <c r="T45" s="3961" t="s">
        <v>16</v>
      </c>
      <c r="U45" s="3328">
        <f t="shared" si="13"/>
        <v>100</v>
      </c>
      <c r="V45" s="3961" t="s">
        <v>16</v>
      </c>
      <c r="W45" s="3328">
        <f t="shared" si="14"/>
        <v>100</v>
      </c>
      <c r="X45" s="946"/>
      <c r="Y45" s="4426"/>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25"/>
      <c r="Q46" s="1544">
        <f t="shared" si="11"/>
        <v>111</v>
      </c>
      <c r="R46" s="3961" t="s">
        <v>15</v>
      </c>
      <c r="S46" s="3328">
        <f t="shared" si="12"/>
        <v>100</v>
      </c>
      <c r="T46" s="3961" t="s">
        <v>15</v>
      </c>
      <c r="U46" s="3328">
        <f t="shared" si="13"/>
        <v>100</v>
      </c>
      <c r="V46" s="3961" t="s">
        <v>15</v>
      </c>
      <c r="W46" s="3328">
        <f t="shared" si="14"/>
        <v>100</v>
      </c>
      <c r="X46" s="946"/>
      <c r="Y46" s="4427"/>
      <c r="Z46" s="944">
        <f t="shared" si="18"/>
        <v>111</v>
      </c>
      <c r="AA46" s="944">
        <f t="shared" si="15"/>
        <v>1</v>
      </c>
      <c r="AB46" s="944">
        <f t="shared" si="16"/>
        <v>1</v>
      </c>
      <c r="AC46" s="944">
        <f t="shared" si="17"/>
        <v>1</v>
      </c>
    </row>
    <row r="47" spans="1:29" ht="14.4">
      <c r="A47" s="287" t="s">
        <v>1625</v>
      </c>
      <c r="B47" s="288"/>
      <c r="C47" s="798" t="s">
        <v>14</v>
      </c>
      <c r="D47" s="289"/>
      <c r="E47" s="3386">
        <f>案例!Q15</f>
        <v>71099</v>
      </c>
      <c r="F47" s="799"/>
      <c r="G47" s="3387">
        <f>案例!Q18</f>
        <v>64763</v>
      </c>
      <c r="H47" s="800"/>
      <c r="I47" s="3386">
        <f>案例!Q19</f>
        <v>67065</v>
      </c>
      <c r="J47" s="800"/>
      <c r="K47" s="2932"/>
      <c r="L47" s="2028"/>
      <c r="M47" s="2021"/>
      <c r="N47" s="2021"/>
      <c r="O47" s="2021"/>
      <c r="P47" s="4419" t="str">
        <f>A47</f>
        <v>成交单价（元/平方米）</v>
      </c>
      <c r="Q47" s="4419"/>
      <c r="R47" s="4420">
        <f>E47</f>
        <v>71099</v>
      </c>
      <c r="S47" s="4420"/>
      <c r="T47" s="4420">
        <f>G47</f>
        <v>64763</v>
      </c>
      <c r="U47" s="4420"/>
      <c r="V47" s="4420">
        <f>I47</f>
        <v>67065</v>
      </c>
      <c r="W47" s="4420"/>
      <c r="X47" s="266"/>
      <c r="Y47" s="496"/>
      <c r="Z47" s="266"/>
      <c r="AA47" s="266"/>
      <c r="AB47" s="266"/>
      <c r="AC47" s="266"/>
    </row>
    <row r="48" spans="1:29" ht="15" thickBot="1">
      <c r="A48" s="290" t="s">
        <v>1626</v>
      </c>
      <c r="B48" s="291"/>
      <c r="C48" s="3959">
        <f>R49</f>
        <v>70385</v>
      </c>
      <c r="D48" s="4083" t="s">
        <v>2052</v>
      </c>
      <c r="E48" s="3008">
        <f>R48</f>
        <v>73328</v>
      </c>
      <c r="F48" s="2925"/>
      <c r="G48" s="3007">
        <f>T48</f>
        <v>66461</v>
      </c>
      <c r="H48" s="2925"/>
      <c r="I48" s="3008">
        <f>V48</f>
        <v>71367</v>
      </c>
      <c r="J48" s="2925"/>
      <c r="K48" s="2979">
        <f>F48+H48+J48</f>
        <v>0</v>
      </c>
      <c r="L48" s="2028"/>
      <c r="M48" s="2021"/>
      <c r="N48" s="2021"/>
      <c r="O48" s="2021"/>
      <c r="P48" s="4419" t="str">
        <f>A48</f>
        <v>比较价值（元/平方米）</v>
      </c>
      <c r="Q48" s="4419"/>
      <c r="R48" s="4420">
        <f>IF(F1="售价",ROUND(PRODUCT(R47,AA7:AA46),0),ROUND(PRODUCT(R47,AA7:AA46),1))</f>
        <v>73328</v>
      </c>
      <c r="S48" s="4420"/>
      <c r="T48" s="4420">
        <f>IF(F1="售价",ROUND(PRODUCT(T47,AB7:AB46),0),ROUND(PRODUCT(T47,AB7:AB46),1))</f>
        <v>66461</v>
      </c>
      <c r="U48" s="4420"/>
      <c r="V48" s="4420">
        <f>IF(F1="售价",ROUND(PRODUCT(V47,AC7:AC46),0),ROUND(PRODUCT(V47,AC7:AC46),1))</f>
        <v>71367</v>
      </c>
      <c r="W48" s="4420"/>
      <c r="X48" s="266"/>
      <c r="Y48" s="266"/>
      <c r="Z48" s="266"/>
      <c r="AA48" s="266"/>
      <c r="AB48" s="266"/>
      <c r="AC48" s="266"/>
    </row>
    <row r="49" spans="1:29" ht="15" thickBot="1">
      <c r="A49" s="292" t="s">
        <v>1627</v>
      </c>
      <c r="B49" s="293"/>
      <c r="C49" s="3960">
        <f>R49</f>
        <v>70385</v>
      </c>
      <c r="D49" s="242"/>
      <c r="E49" s="242"/>
      <c r="F49" s="242"/>
      <c r="G49" s="242"/>
      <c r="H49" s="242"/>
      <c r="I49" s="242"/>
      <c r="J49" s="242"/>
      <c r="K49" s="1409"/>
      <c r="L49" s="2028"/>
      <c r="M49" s="2021"/>
      <c r="N49" s="2021"/>
      <c r="O49" s="2021"/>
      <c r="P49" s="4416" t="str">
        <f>A49</f>
        <v>估价对象XX用房的比较价值（楼面单价，元/平方米）</v>
      </c>
      <c r="Q49" s="4417"/>
      <c r="R49" s="4418">
        <f>IF(F1="售价",ROUND(IF(D48="简单平均",AVERAGE(R48:V48),R48*F48+T48*H48+V48*J48),0),ROUND(IF(D48="简单平均",AVERAGE(R48:V48),R48*F48+T48*H48+V48*J48),1))</f>
        <v>70385</v>
      </c>
      <c r="S49" s="4418"/>
      <c r="T49" s="4418"/>
      <c r="U49" s="4418"/>
      <c r="V49" s="4418"/>
      <c r="W49" s="441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3.1350651907902982E-2</v>
      </c>
      <c r="F52" s="300" t="str">
        <f>IF(OR(E52&gt;=0.3,E52&lt;=-0.3),"超过30%","")</f>
        <v/>
      </c>
      <c r="G52" s="299">
        <f>IF(G47&lt;G48,G48/G47-1,G47/G48-1)</f>
        <v>2.6218674243009055E-2</v>
      </c>
      <c r="H52" s="300" t="str">
        <f>IF(OR(G52&gt;=0.3,G52&lt;=-0.3),"超过30%","")</f>
        <v/>
      </c>
      <c r="I52" s="299">
        <f>IF(I47&lt;I48,I48/I47-1,I47/I48-1)</f>
        <v>6.4146723328114552E-2</v>
      </c>
      <c r="J52" s="300" t="str">
        <f>IF(OR(I52&gt;=0.3,I52&lt;=-0.3),"超过30%","")</f>
        <v/>
      </c>
      <c r="K52" s="2033"/>
      <c r="L52" s="2029"/>
      <c r="M52" s="2021"/>
      <c r="N52" s="2021"/>
      <c r="O52" s="2021"/>
    </row>
    <row r="53" spans="1:29" ht="13.5" customHeight="1">
      <c r="A53" s="2021"/>
      <c r="B53" s="2021"/>
      <c r="C53" s="297" t="s">
        <v>1629</v>
      </c>
      <c r="D53" s="301"/>
      <c r="E53" s="299">
        <f>IF(E48&lt;G48,G48/E48-1,E48/G48-1)</f>
        <v>0.10332375378041259</v>
      </c>
      <c r="F53" s="300" t="str">
        <f>IF(OR(E53&gt;=0.2,E53&lt;=-0.2),"超过20%","")</f>
        <v/>
      </c>
      <c r="G53" s="299">
        <f>IF(G48&lt;I48,I48/G48-1,G48/I48-1)</f>
        <v>7.3817727689923451E-2</v>
      </c>
      <c r="H53" s="300" t="str">
        <f>IF(OR(G53&gt;=0.2,G53&lt;=-0.2),"超过20%","")</f>
        <v/>
      </c>
      <c r="I53" s="299">
        <f>IF(I48&lt;E48,E48/I48-1,I48/E48-1)</f>
        <v>2.7477685765129545E-2</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9.7833639578154274E-2</v>
      </c>
      <c r="F54" s="300" t="str">
        <f>IF(OR(E54&gt;=0.3,E54&lt;=-0.3),"超过30%","")</f>
        <v/>
      </c>
      <c r="G54" s="299">
        <f>IF(G47&lt;I47,I47/G47-1,G47/I47-1)</f>
        <v>3.5544987106835624E-2</v>
      </c>
      <c r="H54" s="300" t="str">
        <f>IF(OR(G54&gt;=0.3,G54&lt;=-0.3),"超过30%","")</f>
        <v/>
      </c>
      <c r="I54" s="299">
        <f>IF(I47&lt;E47,E47/I47-1,I47/E47-1)</f>
        <v>6.0150600164019963E-2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v>100.5</v>
      </c>
      <c r="G59" s="310">
        <v>100.5</v>
      </c>
      <c r="H59" s="310">
        <f>G59</f>
        <v>100.5</v>
      </c>
      <c r="I59" s="310">
        <v>101</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4097</v>
      </c>
      <c r="D88" s="4128" t="s">
        <v>4098</v>
      </c>
      <c r="E88" s="4128" t="s">
        <v>4099</v>
      </c>
      <c r="F88" s="4129" t="s">
        <v>4101</v>
      </c>
      <c r="G88" s="4128"/>
      <c r="H88" s="4128"/>
      <c r="I88" s="4128"/>
      <c r="J88" s="348"/>
      <c r="K88" s="348"/>
      <c r="L88" s="348"/>
      <c r="M88" s="371"/>
      <c r="N88" s="638"/>
      <c r="O88" s="638"/>
      <c r="P88" s="1416"/>
      <c r="Q88" s="303"/>
    </row>
    <row r="89" spans="1:17" s="46" customFormat="1" ht="14.4"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4.4" thickTop="1">
      <c r="A90" s="347"/>
      <c r="B90" s="332" t="str">
        <f>B27</f>
        <v>楼层</v>
      </c>
      <c r="C90" s="348" t="str">
        <f>C27</f>
        <v>14/21（中）</v>
      </c>
      <c r="D90" s="4142" t="str">
        <f>E27</f>
        <v>9/22（中）</v>
      </c>
      <c r="E90" s="4142" t="str">
        <f>G27</f>
        <v>8/16（中）</v>
      </c>
      <c r="F90" s="4142" t="str">
        <f>I27</f>
        <v>3/21（低）</v>
      </c>
      <c r="G90" s="348"/>
      <c r="H90" s="349"/>
      <c r="I90" s="349"/>
      <c r="J90" s="349"/>
      <c r="K90" s="349"/>
      <c r="L90" s="350"/>
      <c r="M90" s="351"/>
      <c r="N90" s="641"/>
      <c r="O90" s="641"/>
      <c r="P90" s="1417"/>
      <c r="Q90" s="352"/>
    </row>
    <row r="91" spans="1:17" s="280" customFormat="1" ht="14.4" thickBot="1">
      <c r="A91" s="347"/>
      <c r="B91" s="337"/>
      <c r="C91" s="353">
        <v>100</v>
      </c>
      <c r="D91" s="353">
        <v>100</v>
      </c>
      <c r="E91" s="353">
        <v>100</v>
      </c>
      <c r="F91" s="353">
        <v>98</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4107</v>
      </c>
      <c r="D100" s="4130" t="s">
        <v>4106</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28" t="s">
        <v>3991</v>
      </c>
      <c r="D105" s="4128" t="s">
        <v>3992</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4108</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3994</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1"/>
  <sheetViews>
    <sheetView topLeftCell="A10" workbookViewId="0">
      <selection activeCell="B14" sqref="B14"/>
    </sheetView>
  </sheetViews>
  <sheetFormatPr defaultRowHeight="14.4"/>
  <cols>
    <col min="1" max="1" width="11.109375" customWidth="1"/>
    <col min="2" max="2" width="13.44140625" customWidth="1"/>
    <col min="14" max="18" width="8.88671875" customWidth="1"/>
    <col min="20" max="20" width="12.21875" customWidth="1"/>
    <col min="21" max="21" width="12.44140625" customWidth="1"/>
  </cols>
  <sheetData>
    <row r="1" spans="1:20">
      <c r="A1" s="4576" t="s">
        <v>4024</v>
      </c>
      <c r="B1" s="4577">
        <v>46100</v>
      </c>
      <c r="C1" s="4576">
        <v>61.61</v>
      </c>
      <c r="D1" s="4576" t="s">
        <v>4026</v>
      </c>
      <c r="E1" s="4576" t="s">
        <v>4027</v>
      </c>
      <c r="F1" s="4576">
        <v>6500</v>
      </c>
      <c r="G1" s="4576">
        <f>ROUND(F1/C1,1)</f>
        <v>105.5</v>
      </c>
    </row>
    <row r="2" spans="1:20">
      <c r="A2" s="4573" t="s">
        <v>4024</v>
      </c>
      <c r="B2" s="4574">
        <v>46093</v>
      </c>
      <c r="C2" s="4575">
        <v>58</v>
      </c>
      <c r="D2" s="4573" t="s">
        <v>4029</v>
      </c>
      <c r="E2" s="4573" t="s">
        <v>4030</v>
      </c>
      <c r="F2" s="4575">
        <v>6300</v>
      </c>
      <c r="G2" s="4575">
        <f t="shared" ref="G2:G7" si="0">ROUND(F2/C2,1)</f>
        <v>108.6</v>
      </c>
    </row>
    <row r="3" spans="1:20">
      <c r="A3" s="4573" t="s">
        <v>4024</v>
      </c>
      <c r="B3" s="4574">
        <v>46091</v>
      </c>
      <c r="C3" s="4575">
        <v>59.39</v>
      </c>
      <c r="D3" s="4573" t="s">
        <v>3945</v>
      </c>
      <c r="E3" s="4573" t="s">
        <v>4031</v>
      </c>
      <c r="F3" s="4575">
        <v>6800</v>
      </c>
      <c r="G3" s="4575">
        <f t="shared" si="0"/>
        <v>114.5</v>
      </c>
    </row>
    <row r="4" spans="1:20">
      <c r="A4" s="4576" t="s">
        <v>4024</v>
      </c>
      <c r="B4" s="4577">
        <v>46030</v>
      </c>
      <c r="C4" s="4576">
        <v>66</v>
      </c>
      <c r="D4" s="4576" t="s">
        <v>4033</v>
      </c>
      <c r="E4" s="4576" t="s">
        <v>4034</v>
      </c>
      <c r="F4" s="4576">
        <v>7000</v>
      </c>
      <c r="G4" s="4576">
        <f t="shared" si="0"/>
        <v>106.1</v>
      </c>
    </row>
    <row r="5" spans="1:20">
      <c r="A5" s="4576" t="s">
        <v>4024</v>
      </c>
      <c r="B5" s="4577">
        <v>45954</v>
      </c>
      <c r="C5" s="4576">
        <v>89</v>
      </c>
      <c r="D5" s="4576" t="s">
        <v>4035</v>
      </c>
      <c r="E5" s="4576" t="s">
        <v>4036</v>
      </c>
      <c r="F5" s="4576">
        <v>8500</v>
      </c>
      <c r="G5" s="4576">
        <f t="shared" si="0"/>
        <v>95.5</v>
      </c>
    </row>
    <row r="6" spans="1:20">
      <c r="A6" s="4573" t="s">
        <v>4024</v>
      </c>
      <c r="B6" s="4574">
        <v>45900</v>
      </c>
      <c r="C6" s="4575">
        <v>65.44</v>
      </c>
      <c r="D6" s="4573" t="s">
        <v>4037</v>
      </c>
      <c r="E6" s="4573" t="s">
        <v>4038</v>
      </c>
      <c r="F6" s="4575">
        <v>8000</v>
      </c>
      <c r="G6" s="4575">
        <f t="shared" si="0"/>
        <v>122.2</v>
      </c>
    </row>
    <row r="7" spans="1:20">
      <c r="A7" s="4573" t="s">
        <v>4024</v>
      </c>
      <c r="B7" s="4574">
        <v>45890</v>
      </c>
      <c r="C7" s="4575">
        <v>123.78</v>
      </c>
      <c r="D7" s="4573" t="s">
        <v>4040</v>
      </c>
      <c r="E7" s="4573" t="s">
        <v>3946</v>
      </c>
      <c r="F7" s="4575">
        <v>13500</v>
      </c>
      <c r="G7" s="4575">
        <f t="shared" si="0"/>
        <v>109.1</v>
      </c>
    </row>
    <row r="8" spans="1:20" ht="15" thickBot="1"/>
    <row r="9" spans="1:20">
      <c r="A9" s="4139" t="s">
        <v>3969</v>
      </c>
      <c r="B9" s="4139" t="s">
        <v>3970</v>
      </c>
      <c r="C9" s="4139" t="s">
        <v>3971</v>
      </c>
      <c r="D9" s="4139" t="s">
        <v>3972</v>
      </c>
      <c r="E9" s="4139" t="s">
        <v>3973</v>
      </c>
      <c r="F9" s="4139" t="s">
        <v>3974</v>
      </c>
      <c r="G9" s="4139" t="s">
        <v>3975</v>
      </c>
      <c r="H9" s="4139" t="s">
        <v>3976</v>
      </c>
      <c r="I9" s="4139" t="s">
        <v>3977</v>
      </c>
      <c r="J9" s="4139" t="s">
        <v>3978</v>
      </c>
      <c r="K9" s="4139" t="s">
        <v>3979</v>
      </c>
      <c r="L9" s="4139" t="s">
        <v>3980</v>
      </c>
      <c r="M9" s="4139" t="s">
        <v>3981</v>
      </c>
      <c r="N9" s="4139" t="s">
        <v>3982</v>
      </c>
      <c r="O9" s="4139" t="s">
        <v>3983</v>
      </c>
      <c r="P9" s="4139" t="s">
        <v>3984</v>
      </c>
      <c r="Q9" s="4139" t="s">
        <v>3866</v>
      </c>
      <c r="R9" s="4139" t="s">
        <v>3985</v>
      </c>
      <c r="S9" s="4139" t="s">
        <v>3986</v>
      </c>
      <c r="T9" s="4139" t="s">
        <v>3987</v>
      </c>
    </row>
    <row r="10" spans="1:20" ht="34.799999999999997" thickBot="1">
      <c r="A10" s="4135">
        <v>1</v>
      </c>
      <c r="B10" s="4135" t="s">
        <v>4051</v>
      </c>
      <c r="C10" s="4135" t="s">
        <v>4052</v>
      </c>
      <c r="D10" s="4135" t="s">
        <v>3988</v>
      </c>
      <c r="E10" s="4135" t="s">
        <v>4053</v>
      </c>
      <c r="F10" s="4135" t="s">
        <v>4054</v>
      </c>
      <c r="G10" s="4135" t="s">
        <v>4055</v>
      </c>
      <c r="H10" s="4135" t="s">
        <v>4056</v>
      </c>
      <c r="I10" s="4135">
        <v>74.62</v>
      </c>
      <c r="J10" s="4135" t="s">
        <v>3292</v>
      </c>
      <c r="K10" s="4135">
        <v>16</v>
      </c>
      <c r="L10" s="4135">
        <v>14</v>
      </c>
      <c r="M10" s="4135">
        <v>1986</v>
      </c>
      <c r="N10" s="4135" t="s">
        <v>627</v>
      </c>
      <c r="O10" s="4135" t="s">
        <v>627</v>
      </c>
      <c r="P10" s="4135" t="s">
        <v>627</v>
      </c>
      <c r="Q10" s="4135">
        <v>71697</v>
      </c>
      <c r="R10" s="4135">
        <v>66324</v>
      </c>
      <c r="S10" s="4135">
        <v>4949097</v>
      </c>
      <c r="T10" s="4136">
        <v>46105</v>
      </c>
    </row>
    <row r="11" spans="1:20" ht="34.799999999999997" thickBot="1">
      <c r="A11" s="4137">
        <v>2</v>
      </c>
      <c r="B11" s="4137" t="s">
        <v>4057</v>
      </c>
      <c r="C11" s="4137" t="s">
        <v>4058</v>
      </c>
      <c r="D11" s="4137" t="s">
        <v>3988</v>
      </c>
      <c r="E11" s="4137" t="s">
        <v>4059</v>
      </c>
      <c r="F11" s="4137" t="s">
        <v>4054</v>
      </c>
      <c r="G11" s="4137" t="s">
        <v>4055</v>
      </c>
      <c r="H11" s="4137" t="s">
        <v>4056</v>
      </c>
      <c r="I11" s="4137">
        <v>64.290000000000006</v>
      </c>
      <c r="J11" s="4137" t="s">
        <v>3292</v>
      </c>
      <c r="K11" s="4137">
        <v>11</v>
      </c>
      <c r="L11" s="4137">
        <v>10</v>
      </c>
      <c r="M11" s="4137" t="s">
        <v>4060</v>
      </c>
      <c r="N11" s="4137" t="s">
        <v>627</v>
      </c>
      <c r="O11" s="4137">
        <v>1990</v>
      </c>
      <c r="P11" s="4137" t="s">
        <v>627</v>
      </c>
      <c r="Q11" s="4137">
        <v>51019</v>
      </c>
      <c r="R11" s="4137">
        <v>51128</v>
      </c>
      <c r="S11" s="4137">
        <v>3287019</v>
      </c>
      <c r="T11" s="4138">
        <v>46087</v>
      </c>
    </row>
    <row r="12" spans="1:20" s="4582" customFormat="1" ht="46.2" thickBot="1">
      <c r="A12" s="4135">
        <v>3</v>
      </c>
      <c r="B12" s="4135" t="s">
        <v>4061</v>
      </c>
      <c r="C12" s="4135" t="s">
        <v>4062</v>
      </c>
      <c r="D12" s="4135" t="s">
        <v>3988</v>
      </c>
      <c r="E12" s="4135" t="s">
        <v>4063</v>
      </c>
      <c r="F12" s="4135" t="s">
        <v>4054</v>
      </c>
      <c r="G12" s="4135" t="s">
        <v>4055</v>
      </c>
      <c r="H12" s="4135" t="s">
        <v>3989</v>
      </c>
      <c r="I12" s="4135">
        <v>65.86</v>
      </c>
      <c r="J12" s="4135" t="s">
        <v>3292</v>
      </c>
      <c r="K12" s="4135">
        <v>16</v>
      </c>
      <c r="L12" s="4135">
        <v>4</v>
      </c>
      <c r="M12" s="4135">
        <v>1987</v>
      </c>
      <c r="N12" s="4135" t="s">
        <v>4064</v>
      </c>
      <c r="O12" s="4135" t="s">
        <v>627</v>
      </c>
      <c r="P12" s="4135" t="s">
        <v>627</v>
      </c>
      <c r="Q12" s="4135">
        <v>61494</v>
      </c>
      <c r="R12" s="4135">
        <v>61626</v>
      </c>
      <c r="S12" s="4135">
        <v>4058688</v>
      </c>
      <c r="T12" s="4136">
        <v>46052</v>
      </c>
    </row>
    <row r="13" spans="1:20" ht="34.799999999999997" thickBot="1">
      <c r="A13" s="4137">
        <v>4</v>
      </c>
      <c r="B13" s="4137" t="s">
        <v>4065</v>
      </c>
      <c r="C13" s="4137" t="s">
        <v>4066</v>
      </c>
      <c r="D13" s="4137" t="s">
        <v>3988</v>
      </c>
      <c r="E13" s="4137" t="s">
        <v>4067</v>
      </c>
      <c r="F13" s="4137" t="s">
        <v>4054</v>
      </c>
      <c r="G13" s="4137"/>
      <c r="H13" s="4137" t="s">
        <v>3989</v>
      </c>
      <c r="I13" s="4137">
        <v>49.11</v>
      </c>
      <c r="J13" s="4137" t="s">
        <v>3292</v>
      </c>
      <c r="K13" s="4137">
        <v>11</v>
      </c>
      <c r="L13" s="4137">
        <v>5</v>
      </c>
      <c r="M13" s="4137" t="s">
        <v>627</v>
      </c>
      <c r="N13" s="4137">
        <v>1991</v>
      </c>
      <c r="O13" s="4137" t="s">
        <v>627</v>
      </c>
      <c r="P13" s="4137" t="s">
        <v>627</v>
      </c>
      <c r="Q13" s="4137">
        <v>48463</v>
      </c>
      <c r="R13" s="4137">
        <v>48464</v>
      </c>
      <c r="S13" s="4137">
        <v>2380067</v>
      </c>
      <c r="T13" s="4138">
        <v>46049</v>
      </c>
    </row>
    <row r="14" spans="1:20" ht="34.799999999999997" thickBot="1">
      <c r="A14" s="4135">
        <v>5</v>
      </c>
      <c r="B14" s="4135" t="s">
        <v>4068</v>
      </c>
      <c r="C14" s="4135" t="s">
        <v>4069</v>
      </c>
      <c r="D14" s="4135" t="s">
        <v>3988</v>
      </c>
      <c r="E14" s="4135" t="s">
        <v>4070</v>
      </c>
      <c r="F14" s="4135" t="s">
        <v>4054</v>
      </c>
      <c r="G14" s="4135" t="s">
        <v>4071</v>
      </c>
      <c r="H14" s="4135" t="s">
        <v>4056</v>
      </c>
      <c r="I14" s="4135">
        <v>40.49</v>
      </c>
      <c r="J14" s="4135" t="s">
        <v>3292</v>
      </c>
      <c r="K14" s="4135" t="s">
        <v>4072</v>
      </c>
      <c r="L14" s="4135">
        <v>6</v>
      </c>
      <c r="M14" s="4135">
        <v>1985</v>
      </c>
      <c r="N14" s="4135" t="s">
        <v>627</v>
      </c>
      <c r="O14" s="4135" t="s">
        <v>627</v>
      </c>
      <c r="P14" s="4135" t="s">
        <v>627</v>
      </c>
      <c r="Q14" s="4135">
        <v>39516</v>
      </c>
      <c r="R14" s="4135">
        <v>39717</v>
      </c>
      <c r="S14" s="4135">
        <v>1608141</v>
      </c>
      <c r="T14" s="4136">
        <v>46032</v>
      </c>
    </row>
    <row r="15" spans="1:20" s="4582" customFormat="1" ht="34.799999999999997" thickBot="1">
      <c r="A15" s="4140">
        <v>6</v>
      </c>
      <c r="B15" s="4140" t="s">
        <v>4073</v>
      </c>
      <c r="C15" s="4140" t="s">
        <v>4074</v>
      </c>
      <c r="D15" s="4140" t="s">
        <v>3988</v>
      </c>
      <c r="E15" s="4140" t="s">
        <v>4075</v>
      </c>
      <c r="F15" s="4140" t="s">
        <v>4054</v>
      </c>
      <c r="G15" s="4140" t="s">
        <v>4055</v>
      </c>
      <c r="H15" s="4140" t="s">
        <v>3989</v>
      </c>
      <c r="I15" s="4140">
        <v>75.95</v>
      </c>
      <c r="J15" s="4140" t="s">
        <v>3292</v>
      </c>
      <c r="K15" s="4140">
        <v>22</v>
      </c>
      <c r="L15" s="4140">
        <v>9</v>
      </c>
      <c r="M15" s="4140">
        <v>1993</v>
      </c>
      <c r="N15" s="4140" t="s">
        <v>627</v>
      </c>
      <c r="O15" s="4140" t="s">
        <v>627</v>
      </c>
      <c r="P15" s="4140" t="s">
        <v>627</v>
      </c>
      <c r="Q15" s="4140">
        <v>71099</v>
      </c>
      <c r="R15" s="4140">
        <v>71133</v>
      </c>
      <c r="S15" s="4140">
        <v>5402551</v>
      </c>
      <c r="T15" s="4141">
        <v>46028</v>
      </c>
    </row>
    <row r="16" spans="1:20" ht="34.799999999999997" thickBot="1">
      <c r="A16" s="4135">
        <v>7</v>
      </c>
      <c r="B16" s="4135" t="s">
        <v>4076</v>
      </c>
      <c r="C16" s="4135" t="s">
        <v>4077</v>
      </c>
      <c r="D16" s="4135" t="s">
        <v>3988</v>
      </c>
      <c r="E16" s="4135" t="s">
        <v>4078</v>
      </c>
      <c r="F16" s="4135" t="s">
        <v>4079</v>
      </c>
      <c r="G16" s="4135"/>
      <c r="H16" s="4135" t="s">
        <v>4056</v>
      </c>
      <c r="I16" s="4135">
        <v>66.5</v>
      </c>
      <c r="J16" s="4135" t="s">
        <v>3292</v>
      </c>
      <c r="K16" s="4135">
        <v>16</v>
      </c>
      <c r="L16" s="4135">
        <v>5</v>
      </c>
      <c r="M16" s="4135" t="s">
        <v>627</v>
      </c>
      <c r="N16" s="4135">
        <v>1986</v>
      </c>
      <c r="O16" s="4135" t="s">
        <v>627</v>
      </c>
      <c r="P16" s="4135" t="s">
        <v>627</v>
      </c>
      <c r="Q16" s="4135">
        <v>60752</v>
      </c>
      <c r="R16" s="4135">
        <v>60824</v>
      </c>
      <c r="S16" s="4135">
        <v>4044796</v>
      </c>
      <c r="T16" s="4136">
        <v>45999</v>
      </c>
    </row>
    <row r="17" spans="1:20" ht="34.799999999999997" thickBot="1">
      <c r="A17" s="4137">
        <v>8</v>
      </c>
      <c r="B17" s="4580" t="s">
        <v>4080</v>
      </c>
      <c r="C17" s="4580" t="s">
        <v>4081</v>
      </c>
      <c r="D17" s="4580" t="s">
        <v>3988</v>
      </c>
      <c r="E17" s="4580" t="s">
        <v>4082</v>
      </c>
      <c r="F17" s="4580" t="s">
        <v>4054</v>
      </c>
      <c r="G17" s="4580" t="s">
        <v>4055</v>
      </c>
      <c r="H17" s="4580" t="s">
        <v>4056</v>
      </c>
      <c r="I17" s="4580">
        <v>52.35</v>
      </c>
      <c r="J17" s="4580" t="s">
        <v>3292</v>
      </c>
      <c r="K17" s="4580">
        <v>6</v>
      </c>
      <c r="L17" s="4580">
        <v>1</v>
      </c>
      <c r="M17" s="4580">
        <v>1985</v>
      </c>
      <c r="N17" s="4580" t="s">
        <v>627</v>
      </c>
      <c r="O17" s="4580" t="s">
        <v>627</v>
      </c>
      <c r="P17" s="4580" t="s">
        <v>627</v>
      </c>
      <c r="Q17" s="4580">
        <v>69150</v>
      </c>
      <c r="R17" s="4580">
        <v>65570</v>
      </c>
      <c r="S17" s="4580">
        <v>3432590</v>
      </c>
      <c r="T17" s="4581">
        <v>45980</v>
      </c>
    </row>
    <row r="18" spans="1:20" ht="46.2" thickBot="1">
      <c r="A18" s="4140">
        <v>9</v>
      </c>
      <c r="B18" s="4140" t="s">
        <v>4083</v>
      </c>
      <c r="C18" s="4140" t="s">
        <v>4084</v>
      </c>
      <c r="D18" s="4140" t="s">
        <v>3988</v>
      </c>
      <c r="E18" s="4140" t="s">
        <v>4085</v>
      </c>
      <c r="F18" s="4140" t="s">
        <v>4054</v>
      </c>
      <c r="G18" s="4140" t="s">
        <v>4055</v>
      </c>
      <c r="H18" s="4140" t="s">
        <v>3989</v>
      </c>
      <c r="I18" s="4140">
        <v>75.12</v>
      </c>
      <c r="J18" s="4140" t="s">
        <v>3292</v>
      </c>
      <c r="K18" s="4140">
        <v>16</v>
      </c>
      <c r="L18" s="4140">
        <v>8</v>
      </c>
      <c r="M18" s="4140">
        <v>1985</v>
      </c>
      <c r="N18" s="4140" t="s">
        <v>4086</v>
      </c>
      <c r="O18" s="4140" t="s">
        <v>627</v>
      </c>
      <c r="P18" s="4140" t="s">
        <v>627</v>
      </c>
      <c r="Q18" s="4140">
        <v>64763</v>
      </c>
      <c r="R18" s="4140">
        <v>64841</v>
      </c>
      <c r="S18" s="4140">
        <v>4870856</v>
      </c>
      <c r="T18" s="4141">
        <v>45965</v>
      </c>
    </row>
    <row r="19" spans="1:20" s="4582" customFormat="1" ht="34.799999999999997" thickBot="1">
      <c r="A19" s="4140">
        <v>10</v>
      </c>
      <c r="B19" s="4140" t="s">
        <v>4087</v>
      </c>
      <c r="C19" s="4140" t="s">
        <v>4088</v>
      </c>
      <c r="D19" s="4140" t="s">
        <v>3988</v>
      </c>
      <c r="E19" s="4140" t="s">
        <v>4089</v>
      </c>
      <c r="F19" s="4140" t="s">
        <v>4054</v>
      </c>
      <c r="G19" s="4140" t="s">
        <v>4055</v>
      </c>
      <c r="H19" s="4140" t="s">
        <v>3989</v>
      </c>
      <c r="I19" s="4140">
        <v>75.3</v>
      </c>
      <c r="J19" s="4140" t="s">
        <v>3292</v>
      </c>
      <c r="K19" s="4140">
        <v>21</v>
      </c>
      <c r="L19" s="4140">
        <v>3</v>
      </c>
      <c r="M19" s="4140">
        <v>1990</v>
      </c>
      <c r="N19" s="4140" t="s">
        <v>627</v>
      </c>
      <c r="O19" s="4140" t="s">
        <v>627</v>
      </c>
      <c r="P19" s="4140" t="s">
        <v>627</v>
      </c>
      <c r="Q19" s="4140">
        <v>67065</v>
      </c>
      <c r="R19" s="4140">
        <v>67128</v>
      </c>
      <c r="S19" s="4140">
        <v>5054738</v>
      </c>
      <c r="T19" s="4141">
        <v>45917</v>
      </c>
    </row>
    <row r="20" spans="1:20" ht="34.799999999999997" thickBot="1">
      <c r="A20" s="4135">
        <v>11</v>
      </c>
      <c r="B20" s="4135" t="s">
        <v>4090</v>
      </c>
      <c r="C20" s="4135" t="s">
        <v>4091</v>
      </c>
      <c r="D20" s="4135" t="s">
        <v>3988</v>
      </c>
      <c r="E20" s="4135" t="s">
        <v>4092</v>
      </c>
      <c r="F20" s="4135" t="s">
        <v>4054</v>
      </c>
      <c r="G20" s="4135" t="s">
        <v>4055</v>
      </c>
      <c r="H20" s="4135" t="s">
        <v>4056</v>
      </c>
      <c r="I20" s="4135">
        <v>58.24</v>
      </c>
      <c r="J20" s="4135" t="s">
        <v>3292</v>
      </c>
      <c r="K20" s="4135">
        <v>11</v>
      </c>
      <c r="L20" s="4135">
        <v>5</v>
      </c>
      <c r="M20" s="4135" t="s">
        <v>4060</v>
      </c>
      <c r="N20" s="4135" t="s">
        <v>627</v>
      </c>
      <c r="O20" s="4135">
        <v>1990</v>
      </c>
      <c r="P20" s="4135" t="s">
        <v>627</v>
      </c>
      <c r="Q20" s="4135">
        <v>58207</v>
      </c>
      <c r="R20" s="4135">
        <v>58372</v>
      </c>
      <c r="S20" s="4135">
        <v>3399585</v>
      </c>
      <c r="T20" s="4136">
        <v>45917</v>
      </c>
    </row>
    <row r="21" spans="1:20" ht="34.799999999999997" thickBot="1">
      <c r="A21" s="4137">
        <v>12</v>
      </c>
      <c r="B21" s="4137" t="s">
        <v>4093</v>
      </c>
      <c r="C21" s="4137" t="s">
        <v>4094</v>
      </c>
      <c r="D21" s="4137" t="s">
        <v>3988</v>
      </c>
      <c r="E21" s="4137" t="s">
        <v>4095</v>
      </c>
      <c r="F21" s="4137" t="s">
        <v>4054</v>
      </c>
      <c r="G21" s="4137" t="s">
        <v>4055</v>
      </c>
      <c r="H21" s="4137" t="s">
        <v>3989</v>
      </c>
      <c r="I21" s="4137">
        <v>66.349999999999994</v>
      </c>
      <c r="J21" s="4137" t="s">
        <v>3292</v>
      </c>
      <c r="K21" s="4137">
        <v>16</v>
      </c>
      <c r="L21" s="4137">
        <v>5</v>
      </c>
      <c r="M21" s="4137" t="s">
        <v>627</v>
      </c>
      <c r="N21" s="4137">
        <v>1986</v>
      </c>
      <c r="O21" s="4137" t="s">
        <v>627</v>
      </c>
      <c r="P21" s="4137" t="s">
        <v>627</v>
      </c>
      <c r="Q21" s="4137">
        <v>0</v>
      </c>
      <c r="R21" s="4137">
        <v>62671</v>
      </c>
      <c r="S21" s="4137">
        <v>4158221</v>
      </c>
      <c r="T21" s="4138">
        <v>45849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E33" sqref="E33"/>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64.650000000000006</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314.70049999999998</v>
      </c>
      <c r="C2" s="969" t="s">
        <v>791</v>
      </c>
      <c r="D2" s="3508" t="s">
        <v>3949</v>
      </c>
      <c r="E2" s="974"/>
      <c r="F2" s="975"/>
      <c r="G2" s="2012"/>
      <c r="H2" s="2002"/>
      <c r="I2" s="2002"/>
      <c r="J2" s="2002"/>
      <c r="K2" s="2003"/>
      <c r="L2" s="2002"/>
      <c r="M2" s="2002"/>
    </row>
    <row r="3" spans="1:37" ht="18" customHeight="1" thickBot="1">
      <c r="A3" s="976" t="s">
        <v>792</v>
      </c>
      <c r="B3" s="977">
        <f ca="1">IF(ISERROR(D3/F29),0,ROUND(D3/F29,0))</f>
        <v>35945</v>
      </c>
      <c r="C3" s="969" t="s">
        <v>793</v>
      </c>
      <c r="D3" s="969">
        <f ca="1">IF(D2="含税",ROUND((C25+J28+L51)*(1+F28),0),C25+J28+L51)</f>
        <v>3147005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95582</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95463</v>
      </c>
      <c r="D6" s="2823" t="s">
        <v>3848</v>
      </c>
      <c r="E6" s="2821" t="s">
        <v>3430</v>
      </c>
      <c r="F6" s="3179">
        <f ca="1">INDIRECT("'数据-取费表'!u"&amp;$G$1)</f>
        <v>106.9</v>
      </c>
      <c r="G6" s="972"/>
      <c r="H6" s="739" t="s">
        <v>392</v>
      </c>
      <c r="I6" s="2822" t="s">
        <v>3843</v>
      </c>
      <c r="J6" s="2856">
        <f ca="1">J7-J9</f>
        <v>0</v>
      </c>
      <c r="K6" s="2823" t="s">
        <v>3848</v>
      </c>
      <c r="L6" s="3381" t="s">
        <v>3430</v>
      </c>
      <c r="M6" s="3642">
        <f ca="1">INDIRECT("'数据-取费表'!z"&amp;$G$1)</f>
        <v>0</v>
      </c>
    </row>
    <row r="7" spans="1:37" ht="18" customHeight="1">
      <c r="A7" s="4371" t="s">
        <v>391</v>
      </c>
      <c r="B7" s="4353" t="s">
        <v>3841</v>
      </c>
      <c r="C7" s="4430">
        <f ca="1">ROUND(F6*F7*F8,0)</f>
        <v>112309</v>
      </c>
      <c r="D7" s="4356" t="s">
        <v>3508</v>
      </c>
      <c r="E7" s="746" t="s">
        <v>683</v>
      </c>
      <c r="F7" s="3601">
        <f ca="1">IF(INDIRECT("'数据-取费表'!ah"&amp;$G$1)="",INDIRECT("'数据-取费表'!k"&amp;$G$1),INDIRECT("'数据-取费表'!ah"&amp;$G$1))</f>
        <v>87.55</v>
      </c>
      <c r="G7" s="972"/>
      <c r="H7" s="4371" t="s">
        <v>391</v>
      </c>
      <c r="I7" s="4353" t="s">
        <v>3841</v>
      </c>
      <c r="J7" s="4364">
        <f ca="1">ROUND(M6*M8*M7,0)</f>
        <v>0</v>
      </c>
      <c r="K7" s="4356" t="s">
        <v>3508</v>
      </c>
      <c r="L7" s="1912" t="s">
        <v>683</v>
      </c>
      <c r="M7" s="3643">
        <f ca="1">F7</f>
        <v>87.55</v>
      </c>
    </row>
    <row r="8" spans="1:37" ht="18" customHeight="1">
      <c r="A8" s="4372"/>
      <c r="B8" s="4354"/>
      <c r="C8" s="4430"/>
      <c r="D8" s="4356"/>
      <c r="E8" s="187" t="s">
        <v>684</v>
      </c>
      <c r="F8" s="3601">
        <f ca="1">INDIRECT("'数据-取费表'!ai"&amp;$G$1)</f>
        <v>12</v>
      </c>
      <c r="G8" s="972"/>
      <c r="H8" s="4372"/>
      <c r="I8" s="4354"/>
      <c r="J8" s="4364"/>
      <c r="K8" s="4356"/>
      <c r="L8" s="1912" t="s">
        <v>684</v>
      </c>
      <c r="M8" s="3643">
        <f ca="1">INDIRECT("'数据-取费表'!ai"&amp;$G$1)</f>
        <v>12</v>
      </c>
    </row>
    <row r="9" spans="1:37" ht="18" customHeight="1">
      <c r="A9" s="2804" t="s">
        <v>3431</v>
      </c>
      <c r="B9" s="3202" t="s">
        <v>3842</v>
      </c>
      <c r="C9" s="3204">
        <f ca="1">ROUND(C7*F9,0)</f>
        <v>16846</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119</v>
      </c>
      <c r="D10" s="59" t="s">
        <v>2030</v>
      </c>
      <c r="E10" s="198" t="s">
        <v>687</v>
      </c>
      <c r="F10" s="781" t="s">
        <v>3964</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4515</v>
      </c>
      <c r="D13" s="756" t="s">
        <v>701</v>
      </c>
      <c r="E13" s="757"/>
      <c r="F13" s="742"/>
      <c r="G13" s="972"/>
      <c r="H13" s="748" t="s">
        <v>3718</v>
      </c>
      <c r="I13" s="749" t="s">
        <v>700</v>
      </c>
      <c r="J13" s="3205">
        <f ca="1">ROUND(J14+J21+J22+J23,0)</f>
        <v>868</v>
      </c>
      <c r="K13" s="937" t="s">
        <v>3478</v>
      </c>
      <c r="L13" s="742"/>
      <c r="M13" s="3632"/>
    </row>
    <row r="14" spans="1:37" ht="18" customHeight="1">
      <c r="A14" s="686" t="s">
        <v>392</v>
      </c>
      <c r="B14" s="187" t="s">
        <v>705</v>
      </c>
      <c r="C14" s="2807">
        <f ca="1">ROUND(IF(AND(项目基本情况!B11="自然人",项目基本情况!B10="北京市",M52="住宅"),C6*F14,C15+C18+C19),2)</f>
        <v>2386.58</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0</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9451</v>
      </c>
      <c r="D15" s="2852" t="s">
        <v>3477</v>
      </c>
      <c r="E15" s="187" t="s">
        <v>3471</v>
      </c>
      <c r="F15" s="2880">
        <f>'数据-取费表'!B44</f>
        <v>0.12000000000000001</v>
      </c>
      <c r="G15" s="982"/>
      <c r="H15" s="686" t="s">
        <v>391</v>
      </c>
      <c r="I15" s="2821" t="s">
        <v>3306</v>
      </c>
      <c r="J15" s="2807">
        <f ca="1">ROUND((J16-J17)*(1+M15),0)</f>
        <v>-87</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8592</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154</v>
      </c>
      <c r="D17" s="2834" t="s">
        <v>3438</v>
      </c>
      <c r="E17" s="2834"/>
      <c r="F17" s="2880">
        <v>0.06</v>
      </c>
      <c r="G17" s="982"/>
      <c r="H17" s="2592" t="s">
        <v>3310</v>
      </c>
      <c r="I17" s="2826" t="s">
        <v>3436</v>
      </c>
      <c r="J17" s="3175">
        <f ca="1">ROUND(J21*M16+((J22+J23)*M17),0)</f>
        <v>78</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t="str">
        <f ca="1">IF(AND(项目基本情况!B11="自然人",M52="住宅"),"——",IF(D18="按不含税租金收入计税",ROUND(C6*F18,0),IF(D18="按房产原值计税",ROUND(C47*F18*0.7,0),INDIRECT("'数据-取费表'!Aj"&amp;$G$1))))</f>
        <v>——</v>
      </c>
      <c r="D18" s="2825" t="s">
        <v>3965</v>
      </c>
      <c r="E18" s="187" t="s">
        <v>698</v>
      </c>
      <c r="F18" s="2881">
        <f>IF(D18="按票据","——",IF(D18="按不含税租金收入计税",'数据-取费表'!B52,'数据-取费表'!B51))</f>
        <v>0.12</v>
      </c>
      <c r="G18" s="982"/>
      <c r="H18" s="686" t="s">
        <v>393</v>
      </c>
      <c r="I18" s="187" t="s">
        <v>713</v>
      </c>
      <c r="J18" s="2807">
        <f ca="1">IF(K18="按不含税租金收入计税",ROUND(J6*M18,0),ROUND(C47*M18*0.7,0))</f>
        <v>3644</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t="str">
        <f>IF(AND(项目基本情况!B11="自然人",M52="住宅"),"——",ROUND(F19*F20,0))</f>
        <v>——</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868</v>
      </c>
      <c r="D21" s="936" t="s">
        <v>725</v>
      </c>
      <c r="E21" s="187" t="s">
        <v>698</v>
      </c>
      <c r="F21" s="2883">
        <f ca="1">INDIRECT("'数据-取费表'!Ak"&amp;$G$1)</f>
        <v>2E-3</v>
      </c>
      <c r="G21" s="982"/>
      <c r="H21" s="686" t="s">
        <v>396</v>
      </c>
      <c r="I21" s="187" t="s">
        <v>724</v>
      </c>
      <c r="J21" s="2807">
        <f ca="1">ROUND(J31*M21,0)</f>
        <v>868</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304</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956</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91067</v>
      </c>
      <c r="D24" s="764" t="s">
        <v>739</v>
      </c>
      <c r="E24" s="765"/>
      <c r="F24" s="766"/>
      <c r="G24" s="982"/>
      <c r="H24" s="748" t="s">
        <v>3321</v>
      </c>
      <c r="I24" s="763" t="s">
        <v>738</v>
      </c>
      <c r="J24" s="3205">
        <f ca="1">J5-J13</f>
        <v>-868</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66" t="s">
        <v>760</v>
      </c>
      <c r="C25" s="4430">
        <f ca="1">ROUND(C24*(1-((1+F27)/(1+F25))^F26)/(F25-F27),0)</f>
        <v>2887161</v>
      </c>
      <c r="D25" s="208" t="s">
        <v>744</v>
      </c>
      <c r="E25" s="187" t="s">
        <v>745</v>
      </c>
      <c r="F25" s="2885">
        <f ca="1">INDIRECT("'数据-取费表'!I"&amp;$G$1)</f>
        <v>0.04</v>
      </c>
      <c r="G25" s="972"/>
      <c r="H25" s="4357" t="s">
        <v>3720</v>
      </c>
      <c r="I25" s="4360" t="s">
        <v>743</v>
      </c>
      <c r="J25" s="4363">
        <f ca="1">IF(J5&lt;&gt;0,ROUND(J24*(1-((1+M27)/(1+M25))^M26)/(M25-M27),0),0)</f>
        <v>0</v>
      </c>
      <c r="K25" s="208" t="s">
        <v>744</v>
      </c>
      <c r="L25" s="3201" t="s">
        <v>745</v>
      </c>
      <c r="M25" s="3629">
        <f ca="1">INDIRECT("'数据-取费表'!I"&amp;$G$1)</f>
        <v>0.04</v>
      </c>
    </row>
    <row r="26" spans="1:37">
      <c r="A26" s="2903"/>
      <c r="B26" s="4366"/>
      <c r="C26" s="4430"/>
      <c r="D26" s="215" t="s">
        <v>761</v>
      </c>
      <c r="E26" s="187" t="s">
        <v>749</v>
      </c>
      <c r="F26" s="2887">
        <f ca="1">IF(INDIRECT("'数据-取费表'!af"&amp;$G$1)=0,INDIRECT("'数据-取费表'!ae"&amp;$G$1),INDIRECT("'数据-取费表'!af"&amp;$G$1))</f>
        <v>64.650000000000006</v>
      </c>
      <c r="G26" s="972"/>
      <c r="H26" s="4358"/>
      <c r="I26" s="4361"/>
      <c r="J26" s="4364"/>
      <c r="K26" s="936" t="s">
        <v>748</v>
      </c>
      <c r="L26" s="1912" t="s">
        <v>749</v>
      </c>
      <c r="M26" s="3639">
        <f ca="1">INDIRECT("'数据-取费表'!ag"&amp;$G$1)</f>
        <v>0</v>
      </c>
    </row>
    <row r="27" spans="1:37" ht="18" customHeight="1">
      <c r="A27" s="1018"/>
      <c r="B27" s="4366"/>
      <c r="C27" s="4430"/>
      <c r="D27" s="211"/>
      <c r="E27" s="187" t="s">
        <v>752</v>
      </c>
      <c r="F27" s="2885">
        <f ca="1">INDIRECT("'数据-取费表'!v"&amp;$G$1)</f>
        <v>1.4999999999999999E-2</v>
      </c>
      <c r="G27" s="972"/>
      <c r="H27" s="4359"/>
      <c r="I27" s="4362"/>
      <c r="J27" s="4365"/>
      <c r="K27" s="936"/>
      <c r="L27" s="1912" t="s">
        <v>752</v>
      </c>
      <c r="M27" s="3640">
        <f ca="1">INDIRECT("'数据-取费表'!aa"&amp;$G$1)</f>
        <v>0</v>
      </c>
    </row>
    <row r="28" spans="1:37" s="983" customFormat="1" ht="18" customHeight="1" thickBot="1">
      <c r="A28" s="4063" t="s">
        <v>3721</v>
      </c>
      <c r="B28" s="4064" t="s">
        <v>3506</v>
      </c>
      <c r="C28" s="4074">
        <f ca="1">ROUND(C25*(1+F28),0)</f>
        <v>3147005</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87.55</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35945</v>
      </c>
      <c r="D29" s="4068" t="s">
        <v>3510</v>
      </c>
      <c r="E29" s="221" t="s">
        <v>764</v>
      </c>
      <c r="F29" s="2888">
        <f ca="1">INDIRECT("'数据-取费表'!k"&amp;$G$1)</f>
        <v>87.55</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365523</v>
      </c>
      <c r="D31" s="2848" t="s">
        <v>3447</v>
      </c>
      <c r="E31" s="2844"/>
      <c r="F31" s="2845"/>
      <c r="G31" s="972"/>
      <c r="H31" s="2859" t="s">
        <v>3439</v>
      </c>
      <c r="I31" s="2862" t="s">
        <v>3480</v>
      </c>
      <c r="J31" s="2863">
        <f ca="1">C47</f>
        <v>433810</v>
      </c>
      <c r="K31" s="3373" t="s">
        <v>3476</v>
      </c>
      <c r="L31" s="2864"/>
      <c r="M31" s="3200"/>
    </row>
    <row r="32" spans="1:37" ht="18" customHeight="1">
      <c r="A32" s="2804" t="s">
        <v>391</v>
      </c>
      <c r="B32" s="2768" t="s">
        <v>693</v>
      </c>
      <c r="C32" s="2702">
        <f ca="1">ROUND(INDIRECT("'数据-取费表'!l"&amp;$G$1)*F29+'数据-取费表'!L14*INDIRECT("'数据-取费表'!S"&amp;$G$1),0)</f>
        <v>306425</v>
      </c>
      <c r="D32" s="936" t="s">
        <v>694</v>
      </c>
      <c r="E32" s="936"/>
      <c r="F32" s="216"/>
      <c r="G32" s="972"/>
      <c r="H32" s="2860" t="s">
        <v>396</v>
      </c>
      <c r="I32" s="2865" t="s">
        <v>3467</v>
      </c>
      <c r="J32" s="2751">
        <f ca="1">ROUND(J31*(1-M32),0)</f>
        <v>433810</v>
      </c>
      <c r="K32" s="187" t="s">
        <v>3470</v>
      </c>
      <c r="L32" s="2823" t="s">
        <v>3483</v>
      </c>
      <c r="M32" s="197">
        <f ca="1">INDIRECT("'数据-取费表'!ad"&amp;$G$1)</f>
        <v>0</v>
      </c>
    </row>
    <row r="33" spans="1:17" ht="18" customHeight="1" thickBot="1">
      <c r="A33" s="2804" t="s">
        <v>3431</v>
      </c>
      <c r="B33" s="2768" t="s">
        <v>696</v>
      </c>
      <c r="C33" s="2807">
        <f ca="1">ROUND(C32*F33,0)</f>
        <v>15321</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0.02</v>
      </c>
      <c r="G34" s="972"/>
    </row>
    <row r="35" spans="1:17" ht="18" customHeight="1">
      <c r="A35" s="2804" t="s">
        <v>3443</v>
      </c>
      <c r="B35" s="2768" t="s">
        <v>702</v>
      </c>
      <c r="C35" s="2807">
        <f ca="1">ROUND(F35*(F29+INDIRECT("'数据-取费表'!S"&amp;$G$1)),0)</f>
        <v>31518</v>
      </c>
      <c r="D35" s="187" t="s">
        <v>703</v>
      </c>
      <c r="E35" s="187" t="s">
        <v>704</v>
      </c>
      <c r="F35" s="3617">
        <f>'数据-取费表'!B35</f>
        <v>360</v>
      </c>
      <c r="G35" s="972"/>
    </row>
    <row r="36" spans="1:17" ht="18" customHeight="1">
      <c r="A36" s="2804" t="s">
        <v>669</v>
      </c>
      <c r="B36" s="2826" t="s">
        <v>3313</v>
      </c>
      <c r="C36" s="2807">
        <f ca="1">ROUND(C32*F36,0)</f>
        <v>6129</v>
      </c>
      <c r="D36" s="187" t="s">
        <v>697</v>
      </c>
      <c r="E36" s="187" t="s">
        <v>698</v>
      </c>
      <c r="F36" s="2881">
        <f>'数据-取费表'!B36</f>
        <v>0.02</v>
      </c>
      <c r="G36" s="972"/>
      <c r="H36" s="47"/>
      <c r="I36" s="47"/>
      <c r="J36" s="47"/>
      <c r="K36" s="1905"/>
      <c r="L36" s="47"/>
      <c r="M36" s="47"/>
    </row>
    <row r="37" spans="1:17" ht="18" customHeight="1">
      <c r="A37" s="2804" t="s">
        <v>669</v>
      </c>
      <c r="B37" s="2826" t="s">
        <v>3314</v>
      </c>
      <c r="C37" s="2807">
        <f ca="1">ROUND(C32*F37,0)</f>
        <v>6129</v>
      </c>
      <c r="D37" s="187" t="s">
        <v>697</v>
      </c>
      <c r="E37" s="187" t="s">
        <v>698</v>
      </c>
      <c r="F37" s="2881">
        <f>'数据-取费表'!B37</f>
        <v>0.02</v>
      </c>
      <c r="G37" s="972"/>
      <c r="H37" s="47"/>
      <c r="I37" s="47"/>
      <c r="J37" s="47"/>
      <c r="K37" s="1905"/>
      <c r="L37" s="47"/>
      <c r="M37" s="47"/>
    </row>
    <row r="38" spans="1:17" ht="18" customHeight="1">
      <c r="A38" s="200" t="s">
        <v>3454</v>
      </c>
      <c r="B38" s="2837" t="s">
        <v>3455</v>
      </c>
      <c r="C38" s="2856">
        <f ca="1">ROUND(C31*F38,0)</f>
        <v>3655</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5538+0.0005V建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5538</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44301+0.0036V建</v>
      </c>
      <c r="D43" s="2788" t="s">
        <v>3464</v>
      </c>
      <c r="E43" s="201"/>
      <c r="F43" s="2882"/>
      <c r="G43" s="972"/>
      <c r="H43" s="47"/>
      <c r="I43" s="47"/>
      <c r="J43" s="47"/>
      <c r="K43" s="1905"/>
      <c r="L43" s="47"/>
      <c r="M43" s="47"/>
    </row>
    <row r="44" spans="1:17" ht="18" customHeight="1">
      <c r="A44" s="2804" t="s">
        <v>391</v>
      </c>
      <c r="B44" s="187" t="s">
        <v>740</v>
      </c>
      <c r="C44" s="2807">
        <f ca="1">ROUND((C31+C38)*F44,0)</f>
        <v>44301</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433810</v>
      </c>
      <c r="D47" s="2851" t="s">
        <v>3476</v>
      </c>
      <c r="E47" s="2837"/>
      <c r="F47" s="2885"/>
      <c r="K47" s="988"/>
      <c r="Q47" s="3620"/>
    </row>
    <row r="48" spans="1:17" s="972" customFormat="1" ht="18" customHeight="1">
      <c r="A48" s="2841" t="s">
        <v>3465</v>
      </c>
      <c r="B48" s="2840" t="s">
        <v>3467</v>
      </c>
      <c r="C48" s="2856">
        <f ca="1">ROUND(C47*(1-F48),0)</f>
        <v>130143</v>
      </c>
      <c r="D48" s="187" t="s">
        <v>3470</v>
      </c>
      <c r="E48" s="187" t="s">
        <v>692</v>
      </c>
      <c r="F48" s="2881">
        <f ca="1">INDIRECT("'数据-取费表'!y"&amp;$G$1)</f>
        <v>0.7</v>
      </c>
      <c r="K48" s="988"/>
      <c r="Q48" s="3620"/>
    </row>
    <row r="49" spans="1:18" s="972" customFormat="1" ht="18" customHeight="1" thickBot="1">
      <c r="A49" s="2842" t="s">
        <v>3468</v>
      </c>
      <c r="B49" s="2850" t="s">
        <v>3474</v>
      </c>
      <c r="C49" s="2867">
        <f ca="1">C47-C48</f>
        <v>303667</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-3192677</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3956</v>
      </c>
      <c r="K52" s="1002" t="s">
        <v>802</v>
      </c>
      <c r="L52" s="3185">
        <f ca="1">INDIRECT("'数据-取费表'!d"&amp;$G$1)</f>
        <v>70</v>
      </c>
      <c r="M52" s="968" t="str">
        <f>IF(ISNUMBER(FIND("住宅",C1)),"住宅","非住宅")</f>
        <v>住宅</v>
      </c>
      <c r="O52" s="1004" t="s">
        <v>397</v>
      </c>
      <c r="P52" s="1005" t="s">
        <v>803</v>
      </c>
      <c r="Q52" s="3623">
        <f ca="1">C25+J28</f>
        <v>2887161</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3967</v>
      </c>
      <c r="K53" s="1009" t="s">
        <v>806</v>
      </c>
      <c r="L53" s="3182">
        <f ca="1">INDIRECT("'数据-取费表'!f"&amp;$G$1)</f>
        <v>64.650000000000006</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433810</v>
      </c>
      <c r="R54" s="1006" t="s">
        <v>804</v>
      </c>
    </row>
    <row r="55" spans="1:18" s="972" customFormat="1" ht="13.8" thickBot="1">
      <c r="A55" s="4092" t="s">
        <v>3844</v>
      </c>
      <c r="B55" s="4353" t="s">
        <v>3841</v>
      </c>
      <c r="C55" s="3203">
        <f ca="1">ROUND(F54*F56*F55,0)</f>
        <v>0</v>
      </c>
      <c r="D55" s="4356" t="s">
        <v>3508</v>
      </c>
      <c r="E55" s="726" t="s">
        <v>683</v>
      </c>
      <c r="F55" s="2876">
        <f ca="1">F7</f>
        <v>87.55</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54"/>
      <c r="C56" s="4094"/>
      <c r="D56" s="4356"/>
      <c r="E56" s="685" t="s">
        <v>684</v>
      </c>
      <c r="F56" s="2877">
        <f ca="1">F8</f>
        <v>12</v>
      </c>
      <c r="I56" s="1017" t="s">
        <v>815</v>
      </c>
      <c r="J56" s="3182">
        <f>IF(J54="",J55,J54+J55-YEAR('数据-取费表'!B2))</f>
        <v>29</v>
      </c>
      <c r="K56" s="1018" t="s">
        <v>816</v>
      </c>
      <c r="L56" s="3187">
        <f ca="1">ROUND(-PV(INDIRECT("'数据-取费表'!h"&amp;$G$1),J56,(C24-C48*C83),0),0)</f>
        <v>2640943</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64.650000000000006</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64.650000000000006</v>
      </c>
      <c r="K58" s="4351" t="s">
        <v>823</v>
      </c>
      <c r="L58" s="4352"/>
      <c r="O58" s="1004" t="s">
        <v>403</v>
      </c>
      <c r="P58" s="1005" t="s">
        <v>824</v>
      </c>
      <c r="Q58" s="3623">
        <f ca="1">Q52+Q53</f>
        <v>2887161</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1172</v>
      </c>
      <c r="D61" s="664" t="s">
        <v>701</v>
      </c>
      <c r="E61" s="665"/>
      <c r="F61" s="666"/>
      <c r="I61" s="1033" t="s">
        <v>828</v>
      </c>
      <c r="J61" s="1034" t="s">
        <v>3943</v>
      </c>
      <c r="K61" s="1007" t="s">
        <v>829</v>
      </c>
      <c r="L61" s="3182">
        <f ca="1">IF(L53&lt;J56,"——",L53-J58)</f>
        <v>0</v>
      </c>
      <c r="O61" s="1004" t="s">
        <v>397</v>
      </c>
      <c r="P61" s="1005" t="s">
        <v>803</v>
      </c>
      <c r="Q61" s="3623">
        <f ca="1">C25+J28</f>
        <v>2887161</v>
      </c>
      <c r="R61" s="1006" t="s">
        <v>804</v>
      </c>
    </row>
    <row r="62" spans="1:18" s="972" customFormat="1" ht="24.6" thickBot="1">
      <c r="A62" s="547" t="s">
        <v>392</v>
      </c>
      <c r="B62" s="654" t="s">
        <v>705</v>
      </c>
      <c r="C62" s="2807">
        <f ca="1">ROUND(IF(AND(项目基本情况!B11="自然人",项目基本情况!B10="北京市",M52="住宅"),C54*F62,C63+C66+C67),0)</f>
        <v>0</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2640943</v>
      </c>
      <c r="O62" s="1004" t="s">
        <v>398</v>
      </c>
      <c r="P62" s="1005" t="s">
        <v>832</v>
      </c>
      <c r="Q62" s="3623">
        <f ca="1">L65</f>
        <v>0</v>
      </c>
      <c r="R62" s="1006" t="s">
        <v>833</v>
      </c>
    </row>
    <row r="63" spans="1:18" s="972" customFormat="1" ht="24.6" thickBot="1">
      <c r="A63" s="2804" t="s">
        <v>391</v>
      </c>
      <c r="B63" s="2821" t="s">
        <v>3306</v>
      </c>
      <c r="C63" s="2807">
        <f ca="1">ROUND((C64-C65)*(1+F63),0)</f>
        <v>-108</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96</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t="str">
        <f ca="1">IF(项目基本情况!B11="自然人","——",IF(D66="按不含税租金收入计税",ROUND(C54*F66/(1+'数据-取费表'!C43),0),IF(D66="按房产原值计税",ROUND(F69*F66*0.7,0),INDIRECT("'数据-取费表'!Aj"&amp;$G$1))))</f>
        <v>——</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t="str">
        <f>IF(项目基本情况!B11="自然人","——",ROUND(F67*F68,0))</f>
        <v>——</v>
      </c>
      <c r="D67" s="669" t="s">
        <v>772</v>
      </c>
      <c r="E67" s="654" t="s">
        <v>718</v>
      </c>
      <c r="F67" s="3611">
        <f t="shared" si="0"/>
        <v>0</v>
      </c>
      <c r="I67" s="1046" t="s">
        <v>844</v>
      </c>
      <c r="J67" s="1047" t="s">
        <v>845</v>
      </c>
      <c r="K67" s="1047" t="s">
        <v>846</v>
      </c>
      <c r="L67" s="1047" t="s">
        <v>847</v>
      </c>
      <c r="M67" s="1048" t="s">
        <v>848</v>
      </c>
      <c r="O67" s="1004" t="s">
        <v>403</v>
      </c>
      <c r="P67" s="1005" t="s">
        <v>824</v>
      </c>
      <c r="Q67" s="3623">
        <f ca="1">Q61+Q62</f>
        <v>2887161</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868</v>
      </c>
      <c r="D69" s="4106" t="s">
        <v>725</v>
      </c>
      <c r="E69" s="2799" t="s">
        <v>3856</v>
      </c>
      <c r="F69" s="2873">
        <f ca="1">C47</f>
        <v>433810</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2887161</v>
      </c>
      <c r="R70" s="1006" t="s">
        <v>804</v>
      </c>
    </row>
    <row r="71" spans="1:18" s="972" customFormat="1" ht="16.2" thickBot="1">
      <c r="A71" s="4112" t="s">
        <v>778</v>
      </c>
      <c r="B71" s="653" t="s">
        <v>728</v>
      </c>
      <c r="C71" s="4123">
        <f ca="1">ROUND(F71*F72,0)</f>
        <v>304</v>
      </c>
      <c r="D71" s="4106" t="s">
        <v>3475</v>
      </c>
      <c r="E71" s="2799" t="s">
        <v>3474</v>
      </c>
      <c r="F71" s="2608">
        <f ca="1">C49</f>
        <v>303667</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2640943</v>
      </c>
      <c r="R73" s="1006" t="s">
        <v>856</v>
      </c>
    </row>
    <row r="74" spans="1:18" s="972" customFormat="1" ht="24.6" thickBot="1">
      <c r="A74" s="661" t="s">
        <v>388</v>
      </c>
      <c r="B74" s="671" t="s">
        <v>738</v>
      </c>
      <c r="C74" s="2856">
        <f ca="1">C53-C61</f>
        <v>-1172</v>
      </c>
      <c r="D74" s="667" t="s">
        <v>739</v>
      </c>
      <c r="E74" s="672"/>
      <c r="F74" s="2886"/>
      <c r="O74" s="1013"/>
      <c r="P74" s="1005"/>
      <c r="Q74" s="3628"/>
      <c r="R74" s="1006"/>
    </row>
    <row r="75" spans="1:18" s="972" customFormat="1" ht="16.2" thickBot="1">
      <c r="A75" s="3374" t="s">
        <v>389</v>
      </c>
      <c r="B75" s="652" t="s">
        <v>760</v>
      </c>
      <c r="C75" s="3203">
        <f ca="1">ROUND(C74*(1-((1+F77)/(1+F75))^F76)/(F75-F77),0)</f>
        <v>-41901</v>
      </c>
      <c r="D75" s="2905" t="s">
        <v>744</v>
      </c>
      <c r="E75" s="654" t="s">
        <v>745</v>
      </c>
      <c r="F75" s="2885">
        <f ca="1">F25</f>
        <v>0.04</v>
      </c>
      <c r="O75" s="1013" t="s">
        <v>400</v>
      </c>
      <c r="P75" s="1051" t="s">
        <v>857</v>
      </c>
      <c r="Q75" s="3628">
        <f ca="1">ROUND(Q76-Q77*Q78,0)</f>
        <v>91067</v>
      </c>
      <c r="R75" s="1006" t="s">
        <v>408</v>
      </c>
    </row>
    <row r="76" spans="1:18" s="972" customFormat="1" ht="13.8" thickBot="1">
      <c r="A76" s="3375"/>
      <c r="B76" s="656"/>
      <c r="C76" s="3204"/>
      <c r="D76" s="2906" t="s">
        <v>748</v>
      </c>
      <c r="E76" s="654" t="s">
        <v>749</v>
      </c>
      <c r="F76" s="2887">
        <f ca="1">F26</f>
        <v>64.650000000000006</v>
      </c>
      <c r="O76" s="1013" t="s">
        <v>405</v>
      </c>
      <c r="P76" s="1051" t="s">
        <v>858</v>
      </c>
      <c r="Q76" s="3628">
        <f ca="1">C24</f>
        <v>91067</v>
      </c>
      <c r="R76" s="1006" t="s">
        <v>804</v>
      </c>
    </row>
    <row r="77" spans="1:18" s="972" customFormat="1" ht="13.8" thickBot="1">
      <c r="A77" s="3376"/>
      <c r="B77" s="2907"/>
      <c r="C77" s="2907"/>
      <c r="D77" s="2904"/>
      <c r="E77" s="654" t="s">
        <v>752</v>
      </c>
      <c r="F77" s="2878">
        <v>0.02</v>
      </c>
      <c r="O77" s="1013" t="s">
        <v>406</v>
      </c>
      <c r="P77" s="1051" t="s">
        <v>859</v>
      </c>
      <c r="Q77" s="3628">
        <f ca="1">C48</f>
        <v>130143</v>
      </c>
      <c r="R77" s="1006" t="s">
        <v>804</v>
      </c>
    </row>
    <row r="78" spans="1:18" s="972" customFormat="1" ht="13.8" thickBot="1">
      <c r="A78" s="658"/>
      <c r="B78" s="2854" t="s">
        <v>3479</v>
      </c>
      <c r="C78" s="3205">
        <f ca="1">ROUND(C75*(1+F28),0)</f>
        <v>-45672</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-522</v>
      </c>
      <c r="D79" s="677" t="s">
        <v>3510</v>
      </c>
      <c r="E79" s="678" t="s">
        <v>764</v>
      </c>
      <c r="F79" s="2888">
        <f ca="1">F29</f>
        <v>87.55</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2887161</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0.89500000000000002</v>
      </c>
    </row>
    <row r="90" spans="1:18">
      <c r="B90" s="169" t="s">
        <v>789</v>
      </c>
      <c r="C90" s="2956">
        <f ca="1">ROUND(C49/(C25+J28+L51),3)</f>
        <v>0.105</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31" t="s">
        <v>680</v>
      </c>
      <c r="C6" s="744">
        <f ca="1">ROUND(F6*F8*F7*(1-F9),0)</f>
        <v>0</v>
      </c>
      <c r="D6" s="56" t="s">
        <v>2023</v>
      </c>
      <c r="E6" s="187" t="s">
        <v>682</v>
      </c>
      <c r="F6" s="188">
        <f ca="1">INDIRECT("'数据-取费表'!u"&amp;$G$1)</f>
        <v>0</v>
      </c>
      <c r="G6" s="972"/>
      <c r="H6" s="739" t="s">
        <v>392</v>
      </c>
      <c r="I6" s="4431" t="s">
        <v>680</v>
      </c>
      <c r="J6" s="186">
        <f ca="1">ROUND(M6*M8*M7*(1-M9),0)</f>
        <v>0</v>
      </c>
      <c r="K6" s="964" t="s">
        <v>2024</v>
      </c>
      <c r="L6" s="187" t="s">
        <v>682</v>
      </c>
      <c r="M6" s="188">
        <f ca="1">INDIRECT("'数据-取费表'!z"&amp;$G$1)</f>
        <v>0</v>
      </c>
    </row>
    <row r="7" spans="1:37" ht="18" customHeight="1">
      <c r="A7" s="743"/>
      <c r="B7" s="4432"/>
      <c r="C7" s="745"/>
      <c r="D7" s="192"/>
      <c r="E7" s="746" t="s">
        <v>683</v>
      </c>
      <c r="F7" s="188">
        <f ca="1">IF(INDIRECT("'数据-取费表'!ah"&amp;$G$1)="",INDIRECT("'数据-取费表'!k"&amp;$G$1),INDIRECT("'数据-取费表'!ah"&amp;$G$1))</f>
        <v>0</v>
      </c>
      <c r="G7" s="972"/>
      <c r="H7" s="189"/>
      <c r="I7" s="4432"/>
      <c r="J7" s="191"/>
      <c r="K7" s="192"/>
      <c r="L7" s="187" t="s">
        <v>683</v>
      </c>
      <c r="M7" s="188">
        <f ca="1">F7</f>
        <v>0</v>
      </c>
    </row>
    <row r="8" spans="1:37" ht="18" customHeight="1">
      <c r="A8" s="189"/>
      <c r="B8" s="4432"/>
      <c r="C8" s="191"/>
      <c r="D8" s="192"/>
      <c r="E8" s="187" t="s">
        <v>684</v>
      </c>
      <c r="F8" s="188">
        <f ca="1">INDIRECT("'数据-取费表'!ai"&amp;$G$1)</f>
        <v>0</v>
      </c>
      <c r="G8" s="972"/>
      <c r="H8" s="189"/>
      <c r="I8" s="4432"/>
      <c r="J8" s="191"/>
      <c r="K8" s="192"/>
      <c r="L8" s="187" t="s">
        <v>684</v>
      </c>
      <c r="M8" s="188">
        <f ca="1">INDIRECT("'数据-取费表'!ai"&amp;$G$1)</f>
        <v>0</v>
      </c>
    </row>
    <row r="9" spans="1:37" ht="18" customHeight="1">
      <c r="A9" s="189"/>
      <c r="B9" s="4433"/>
      <c r="C9" s="191"/>
      <c r="D9" s="192"/>
      <c r="E9" s="187" t="s">
        <v>685</v>
      </c>
      <c r="F9" s="197">
        <f ca="1">INDIRECT("'数据-取费表'!w"&amp;$G$1)</f>
        <v>0</v>
      </c>
      <c r="G9" s="972"/>
      <c r="H9" s="189"/>
      <c r="I9" s="443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t="str">
        <f>IF(项目基本情况!B11="自然人","——",ROUND(C6*F32/(1+'数据-取费表'!C43),0))</f>
        <v>——</v>
      </c>
      <c r="D32" s="936" t="s">
        <v>710</v>
      </c>
      <c r="E32" s="187" t="s">
        <v>698</v>
      </c>
      <c r="F32" s="214">
        <f>'数据-取费表'!B42</f>
        <v>0</v>
      </c>
      <c r="G32" s="972"/>
      <c r="H32" s="2004"/>
      <c r="I32" s="984"/>
      <c r="J32" s="985"/>
      <c r="K32" s="47"/>
      <c r="L32" s="2005"/>
      <c r="M32" s="2006"/>
    </row>
    <row r="33" spans="1:18" ht="18" customHeight="1">
      <c r="A33" s="686" t="s">
        <v>393</v>
      </c>
      <c r="B33" s="187" t="s">
        <v>713</v>
      </c>
      <c r="C33" s="12" t="str">
        <f ca="1">IF(项目基本情况!B11="自然人","——",IF(D33="按租金收入计税",ROUND(C6*F33/(1+'数据-取费表'!C43),0),IF(D33="按房产原值计税",ROUND(C29*F33*0.7,0),INDIRECT("'数据-取费表'!Aj"&amp;$G$1))))</f>
        <v>——</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t="str">
        <f>IF(项目基本情况!B11="自然人","——",ROUND(F34*F35,0))</f>
        <v>——</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51" t="s">
        <v>823</v>
      </c>
      <c r="L53" s="4352"/>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t="str">
        <f>IF(项目基本情况!B11="自然人","——",ROUND(C48*F60/(1+'数据-取费表'!C43),0))</f>
        <v>——</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t="str">
        <f ca="1">IF(项目基本情况!B11="自然人","——",IF(D61="按租金收入计税",ROUND(C49*F61/(1+'数据-取费表'!C43),0),IF(D61="按房产原值计税",ROUND(C57*F61*0.7,0),INDIRECT("'数据-取费表'!Aj"&amp;$G$1))))</f>
        <v>——</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t="str">
        <f>IF(项目基本情况!B11="自然人","——",ROUND(F62*F63,0))</f>
        <v>——</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34" t="s">
        <v>2230</v>
      </c>
      <c r="K2" s="4435"/>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36" t="s">
        <v>2240</v>
      </c>
      <c r="K3" s="4437"/>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36" t="s">
        <v>2242</v>
      </c>
      <c r="K4" s="4437"/>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38" t="s">
        <v>3835</v>
      </c>
      <c r="B6" s="4439"/>
      <c r="C6" s="4440"/>
      <c r="D6" s="3647"/>
      <c r="E6" s="3796"/>
      <c r="F6" s="2146"/>
      <c r="G6" s="2147"/>
      <c r="H6" s="2125"/>
      <c r="I6" s="2126"/>
      <c r="J6" s="4441">
        <v>1</v>
      </c>
      <c r="K6" s="4442"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41"/>
      <c r="K7" s="4443"/>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45" t="s">
        <v>2259</v>
      </c>
      <c r="C8" s="4446"/>
      <c r="D8" s="2161" t="s">
        <v>2260</v>
      </c>
      <c r="E8" s="2162" t="s">
        <v>2261</v>
      </c>
      <c r="F8" s="2163" t="s">
        <v>2262</v>
      </c>
      <c r="G8" s="2164"/>
      <c r="H8" s="2125"/>
      <c r="I8" s="2126"/>
      <c r="J8" s="4441"/>
      <c r="K8" s="4443"/>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45" t="s">
        <v>2265</v>
      </c>
      <c r="C9" s="4446"/>
      <c r="D9" s="3649">
        <f>ROUND(D6*E9,0)</f>
        <v>0</v>
      </c>
      <c r="E9" s="3650"/>
      <c r="F9" s="2165" t="s">
        <v>2266</v>
      </c>
      <c r="G9" s="2147"/>
      <c r="H9" s="2125"/>
      <c r="I9" s="2126"/>
      <c r="J9" s="4441"/>
      <c r="K9" s="4443"/>
      <c r="L9" s="2156" t="s">
        <v>2267</v>
      </c>
      <c r="M9" s="3905"/>
      <c r="N9" s="3904"/>
      <c r="O9" s="2169"/>
      <c r="P9" s="2169"/>
      <c r="Q9" s="3904">
        <v>365</v>
      </c>
      <c r="R9" s="3903">
        <f t="shared" si="0"/>
        <v>0</v>
      </c>
      <c r="S9" s="2119"/>
      <c r="T9" s="2119"/>
      <c r="U9" s="2119"/>
      <c r="V9" s="2126"/>
    </row>
    <row r="10" spans="1:22" s="2130" customFormat="1" ht="13.2" customHeight="1">
      <c r="A10" s="2160">
        <v>2</v>
      </c>
      <c r="B10" s="4445" t="s">
        <v>2268</v>
      </c>
      <c r="C10" s="4446"/>
      <c r="D10" s="3649">
        <f>ROUND(D6*E10,0)</f>
        <v>0</v>
      </c>
      <c r="E10" s="3650"/>
      <c r="F10" s="3791" t="s">
        <v>3758</v>
      </c>
      <c r="G10" s="2147"/>
      <c r="H10" s="2125"/>
      <c r="I10" s="2126"/>
      <c r="J10" s="4441"/>
      <c r="K10" s="4443"/>
      <c r="L10" s="2156" t="s">
        <v>2269</v>
      </c>
      <c r="M10" s="3905"/>
      <c r="N10" s="3904"/>
      <c r="O10" s="2169"/>
      <c r="P10" s="2169"/>
      <c r="Q10" s="3904">
        <v>365</v>
      </c>
      <c r="R10" s="3903">
        <f t="shared" si="0"/>
        <v>0</v>
      </c>
      <c r="S10" s="2119"/>
      <c r="T10" s="2119"/>
      <c r="U10" s="2119"/>
      <c r="V10" s="2126"/>
    </row>
    <row r="11" spans="1:22" s="2130" customFormat="1" ht="13.2" customHeight="1">
      <c r="A11" s="2160">
        <v>3</v>
      </c>
      <c r="B11" s="4445" t="s">
        <v>2270</v>
      </c>
      <c r="C11" s="4446"/>
      <c r="D11" s="3649">
        <f>D12+D14+D15+D16</f>
        <v>0</v>
      </c>
      <c r="E11" s="3651" t="e">
        <f>D11/D6</f>
        <v>#DIV/0!</v>
      </c>
      <c r="F11" s="2163"/>
      <c r="G11" s="2164"/>
      <c r="H11" s="2125"/>
      <c r="I11" s="2126"/>
      <c r="J11" s="4441"/>
      <c r="K11" s="4443"/>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47" t="s">
        <v>2273</v>
      </c>
      <c r="C12" s="4448"/>
      <c r="D12" s="3652">
        <f>ROUND(D13*1.2%*(1-30%),0)</f>
        <v>0</v>
      </c>
      <c r="E12" s="3653">
        <v>1.2E-2</v>
      </c>
      <c r="F12" s="2163" t="s">
        <v>2274</v>
      </c>
      <c r="G12" s="2164"/>
      <c r="H12" s="2125"/>
      <c r="I12" s="2126"/>
      <c r="J12" s="4441"/>
      <c r="K12" s="4443"/>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41"/>
      <c r="K13" s="4443"/>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47" t="s">
        <v>2279</v>
      </c>
      <c r="C14" s="4448"/>
      <c r="D14" s="3652">
        <f>ROUND(E14*B5/10000,0)</f>
        <v>0</v>
      </c>
      <c r="E14" s="3655"/>
      <c r="F14" s="2163" t="s">
        <v>2280</v>
      </c>
      <c r="G14" s="2164"/>
      <c r="H14" s="2125"/>
      <c r="I14" s="2126"/>
      <c r="J14" s="4441"/>
      <c r="K14" s="4444"/>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49" t="s">
        <v>3832</v>
      </c>
      <c r="C15" s="4448"/>
      <c r="D15" s="3652">
        <f>IF(F15="酒店",E48*(1+E15),IF(F15="购物中心",E67*(1+E15),IF(F15="按比例计算-酒店",E46,E65)))</f>
        <v>0</v>
      </c>
      <c r="E15" s="3653">
        <f>'数据-取费表'!B44</f>
        <v>0.12000000000000001</v>
      </c>
      <c r="F15" s="3794"/>
      <c r="G15" s="3795"/>
      <c r="H15" s="2125"/>
      <c r="I15" s="2126"/>
      <c r="J15" s="4441">
        <v>2</v>
      </c>
      <c r="K15" s="4442"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47" t="s">
        <v>2290</v>
      </c>
      <c r="C16" s="4448"/>
      <c r="D16" s="3656">
        <f>D6*E16</f>
        <v>0</v>
      </c>
      <c r="E16" s="3657"/>
      <c r="F16" s="2165" t="s">
        <v>2291</v>
      </c>
      <c r="G16" s="2147"/>
      <c r="H16" s="2125"/>
      <c r="I16" s="2126"/>
      <c r="J16" s="4441"/>
      <c r="K16" s="4443"/>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50" t="s">
        <v>2293</v>
      </c>
      <c r="C17" s="4451"/>
      <c r="D17" s="3658">
        <f>ROUND(D6*E17,0)</f>
        <v>0</v>
      </c>
      <c r="E17" s="3659"/>
      <c r="F17" s="3792" t="s">
        <v>3759</v>
      </c>
      <c r="G17" s="2147"/>
      <c r="H17" s="2125"/>
      <c r="I17" s="2126"/>
      <c r="J17" s="4441"/>
      <c r="K17" s="4443"/>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41"/>
      <c r="K18" s="4443"/>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41"/>
      <c r="K19" s="4444"/>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41">
        <v>3</v>
      </c>
      <c r="K20" s="4442"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41"/>
      <c r="K21" s="4443"/>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41"/>
      <c r="K22" s="4443"/>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41"/>
      <c r="K23" s="4443"/>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41"/>
      <c r="K24" s="4444"/>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52">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53"/>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34" t="s">
        <v>2230</v>
      </c>
      <c r="K32" s="4435"/>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36" t="s">
        <v>2240</v>
      </c>
      <c r="K33" s="4437"/>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36" t="s">
        <v>2242</v>
      </c>
      <c r="K34" s="4437"/>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41">
        <v>1</v>
      </c>
      <c r="K36" s="4442"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41"/>
      <c r="K37" s="4443"/>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41"/>
      <c r="K38" s="4443"/>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41"/>
      <c r="K39" s="4443"/>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41"/>
      <c r="K40" s="4444"/>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52">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53"/>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314.70049999999998</v>
      </c>
      <c r="C2" s="1384" t="s">
        <v>1568</v>
      </c>
      <c r="D2" s="1385" t="s">
        <v>1569</v>
      </c>
      <c r="E2" s="3001">
        <f>SUM(E6:E13)</f>
        <v>87.55</v>
      </c>
      <c r="F2" s="2013"/>
      <c r="G2" s="1069"/>
      <c r="H2" s="1069"/>
      <c r="I2" s="1069"/>
      <c r="J2" s="1069"/>
      <c r="K2" s="1069"/>
      <c r="L2" s="1069"/>
      <c r="M2" s="1069"/>
      <c r="N2" s="1069"/>
      <c r="O2" s="1069"/>
      <c r="P2" s="1069"/>
      <c r="Q2" s="1069"/>
      <c r="R2" s="1069"/>
      <c r="S2" s="1069"/>
    </row>
    <row r="3" spans="1:22" ht="15.6">
      <c r="A3" s="1383" t="s">
        <v>673</v>
      </c>
      <c r="B3" s="3000">
        <f ca="1">ROUND(B2*10000/E2,0)</f>
        <v>35945</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54" t="s">
        <v>1571</v>
      </c>
      <c r="C5" s="4455"/>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314.70049999999998</v>
      </c>
      <c r="C6" s="1384" t="s">
        <v>1568</v>
      </c>
      <c r="D6" s="2013"/>
      <c r="E6" s="3002">
        <f>IF(OR(A6=0,F6="否"),0,'数据-取费表'!K6+'数据-取费表'!S6)</f>
        <v>87.55</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59" t="s">
        <v>2001</v>
      </c>
      <c r="D1" s="4460"/>
      <c r="E1" s="4460"/>
      <c r="F1" s="4460"/>
      <c r="G1" s="4460"/>
      <c r="H1" s="4460"/>
      <c r="I1" s="4460"/>
      <c r="J1" s="4460"/>
      <c r="K1" s="4460"/>
      <c r="L1" s="4460"/>
      <c r="M1" s="4460"/>
      <c r="N1" s="4460"/>
      <c r="O1" s="4460"/>
      <c r="P1" s="4460"/>
      <c r="Q1" s="4460"/>
      <c r="R1" s="4460"/>
      <c r="S1" s="446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56" t="s">
        <v>25</v>
      </c>
      <c r="D22" s="4457"/>
      <c r="E22" s="4457"/>
      <c r="F22" s="4457"/>
      <c r="G22" s="4457"/>
      <c r="H22" s="4457"/>
      <c r="I22" s="4457"/>
      <c r="J22" s="4457"/>
      <c r="K22" s="4457"/>
      <c r="L22" s="4457"/>
      <c r="M22" s="4457"/>
      <c r="N22" s="4457"/>
      <c r="O22" s="4457"/>
      <c r="P22" s="4457"/>
      <c r="Q22" s="4458"/>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受贵公司委托，我公司对北京市房地产市场价值进行了预评估。</v>
      </c>
    </row>
    <row r="5" spans="1:1" ht="17.399999999999999">
      <c r="A5" s="1063" t="s">
        <v>885</v>
      </c>
    </row>
    <row r="6" spans="1:1" ht="17.399999999999999">
      <c r="A6" s="1064" t="s">
        <v>886</v>
      </c>
    </row>
    <row r="7" spans="1:1" ht="34.799999999999997">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估价对象为北京市房地产，为所有。根据《国有土地使用证》[]，估价对象（分摊）出让国有建设用地使用权面积为0平方米，建筑面积为87.55平方米。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估价对象为北京市房地产,属开发建设的，该项目尚在开发建设中。根据《国有土地使用证》[]，估价对象（分摊）出让国有建设用地使用权面积为0平方米，规划建筑面积为87.55平方米。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2026年3月19日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062" t="str">
        <f>IF(项目基本情况!B9="房地产市场价值","——",IF(项目基本情况!E9="——","",定义!C57))</f>
        <v>——</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394" t="s">
        <v>1687</v>
      </c>
      <c r="D4" s="4395"/>
      <c r="E4" s="4396" t="s">
        <v>1688</v>
      </c>
      <c r="F4" s="4397"/>
      <c r="G4" s="4394" t="s">
        <v>1689</v>
      </c>
      <c r="H4" s="4395"/>
      <c r="I4" s="4394" t="s">
        <v>1690</v>
      </c>
      <c r="J4" s="4395"/>
      <c r="K4" s="2987" t="s">
        <v>1691</v>
      </c>
      <c r="L4" s="2020"/>
      <c r="M4" s="2021"/>
      <c r="N4" s="2021"/>
      <c r="O4" s="2021"/>
      <c r="P4" s="4398" t="s">
        <v>1692</v>
      </c>
      <c r="Q4" s="4399"/>
      <c r="R4" s="4379" t="s">
        <v>1688</v>
      </c>
      <c r="S4" s="4380"/>
      <c r="T4" s="4379" t="s">
        <v>1689</v>
      </c>
      <c r="U4" s="4380"/>
      <c r="V4" s="4406" t="s">
        <v>1690</v>
      </c>
      <c r="W4" s="4406"/>
      <c r="X4" s="946"/>
      <c r="Y4" s="4409" t="s">
        <v>1692</v>
      </c>
      <c r="Z4" s="4410"/>
      <c r="AA4" s="4374" t="s">
        <v>1688</v>
      </c>
      <c r="AB4" s="4462" t="s">
        <v>1689</v>
      </c>
      <c r="AC4" s="4374" t="s">
        <v>1690</v>
      </c>
    </row>
    <row r="5" spans="1:29">
      <c r="A5" s="239"/>
      <c r="B5" s="240"/>
      <c r="C5" s="4385" t="s">
        <v>1590</v>
      </c>
      <c r="D5" s="4386"/>
      <c r="E5" s="4383" t="s">
        <v>1591</v>
      </c>
      <c r="F5" s="4384"/>
      <c r="G5" s="4385" t="s">
        <v>1592</v>
      </c>
      <c r="H5" s="4386"/>
      <c r="I5" s="4385" t="s">
        <v>1593</v>
      </c>
      <c r="J5" s="4386"/>
      <c r="K5" s="2987"/>
      <c r="L5" s="2020"/>
      <c r="M5" s="2021"/>
      <c r="N5" s="2021"/>
      <c r="O5" s="2021"/>
      <c r="P5" s="4400"/>
      <c r="Q5" s="4401"/>
      <c r="R5" s="4381"/>
      <c r="S5" s="4382"/>
      <c r="T5" s="4381"/>
      <c r="U5" s="4382"/>
      <c r="V5" s="4406"/>
      <c r="W5" s="4406"/>
      <c r="X5" s="946"/>
      <c r="Y5" s="4411"/>
      <c r="Z5" s="4412"/>
      <c r="AA5" s="4375"/>
      <c r="AB5" s="4462"/>
      <c r="AC5" s="4375"/>
    </row>
    <row r="6" spans="1:29" ht="15" thickBot="1">
      <c r="A6" s="241"/>
      <c r="B6" s="242"/>
      <c r="C6" s="4391" t="s">
        <v>1594</v>
      </c>
      <c r="D6" s="4388"/>
      <c r="E6" s="4389" t="s">
        <v>1594</v>
      </c>
      <c r="F6" s="4390"/>
      <c r="G6" s="4391" t="s">
        <v>1594</v>
      </c>
      <c r="H6" s="4388"/>
      <c r="I6" s="4391" t="s">
        <v>1594</v>
      </c>
      <c r="J6" s="4388"/>
      <c r="K6" s="2987" t="s">
        <v>1595</v>
      </c>
      <c r="L6" s="2020"/>
      <c r="M6" s="2021"/>
      <c r="N6" s="2021"/>
      <c r="O6" s="2021"/>
      <c r="P6" s="4402"/>
      <c r="Q6" s="4403"/>
      <c r="R6" s="4381"/>
      <c r="S6" s="4382"/>
      <c r="T6" s="4404"/>
      <c r="U6" s="4405"/>
      <c r="V6" s="4406"/>
      <c r="W6" s="4406"/>
      <c r="X6" s="946"/>
      <c r="Y6" s="4413"/>
      <c r="Z6" s="4414"/>
      <c r="AA6" s="4376"/>
      <c r="AB6" s="4462"/>
      <c r="AC6" s="4376"/>
    </row>
    <row r="7" spans="1:29" s="46" customFormat="1" ht="15" thickBot="1">
      <c r="A7" s="243" t="s">
        <v>1596</v>
      </c>
      <c r="B7" s="244"/>
      <c r="C7" s="245">
        <f>'数据-取费表'!B2</f>
        <v>46100</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07" t="s">
        <v>1597</v>
      </c>
      <c r="Q7" s="4415"/>
      <c r="R7" s="3855" t="s">
        <v>13</v>
      </c>
      <c r="S7" s="3327">
        <f t="shared" ref="S7:S15" si="0">F7</f>
        <v>0</v>
      </c>
      <c r="T7" s="3855" t="s">
        <v>13</v>
      </c>
      <c r="U7" s="3327">
        <f t="shared" ref="U7:U15" si="1">H7</f>
        <v>0</v>
      </c>
      <c r="V7" s="3855" t="s">
        <v>13</v>
      </c>
      <c r="W7" s="3327">
        <f t="shared" ref="W7:W15" si="2">J7</f>
        <v>0</v>
      </c>
      <c r="X7" s="493"/>
      <c r="Y7" s="4377" t="s">
        <v>1597</v>
      </c>
      <c r="Z7" s="4378"/>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07" t="s">
        <v>1600</v>
      </c>
      <c r="Q8" s="4408"/>
      <c r="R8" s="3855" t="s">
        <v>13</v>
      </c>
      <c r="S8" s="3327">
        <f t="shared" si="0"/>
        <v>100</v>
      </c>
      <c r="T8" s="3855" t="s">
        <v>13</v>
      </c>
      <c r="U8" s="3327">
        <f t="shared" si="1"/>
        <v>100</v>
      </c>
      <c r="V8" s="3855" t="s">
        <v>13</v>
      </c>
      <c r="W8" s="3327">
        <f t="shared" si="2"/>
        <v>100</v>
      </c>
      <c r="X8" s="493"/>
      <c r="Y8" s="4377" t="s">
        <v>1600</v>
      </c>
      <c r="Z8" s="4378"/>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392" t="s">
        <v>1603</v>
      </c>
      <c r="Q9" s="1742" t="str">
        <f t="shared" ref="Q9:Q15" si="6">B9</f>
        <v>用途</v>
      </c>
      <c r="R9" s="3855" t="s">
        <v>13</v>
      </c>
      <c r="S9" s="3327">
        <f t="shared" si="0"/>
        <v>100</v>
      </c>
      <c r="T9" s="3855" t="s">
        <v>13</v>
      </c>
      <c r="U9" s="3327">
        <f t="shared" si="1"/>
        <v>100</v>
      </c>
      <c r="V9" s="3855" t="s">
        <v>13</v>
      </c>
      <c r="W9" s="3327">
        <f t="shared" si="2"/>
        <v>100</v>
      </c>
      <c r="X9" s="493"/>
      <c r="Y9" s="439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392"/>
      <c r="Q10" s="1742" t="str">
        <f t="shared" si="6"/>
        <v>土地使用年限（年）</v>
      </c>
      <c r="R10" s="3855" t="s">
        <v>13</v>
      </c>
      <c r="S10" s="3327">
        <f t="shared" si="0"/>
        <v>100</v>
      </c>
      <c r="T10" s="3855" t="s">
        <v>13</v>
      </c>
      <c r="U10" s="3327">
        <f t="shared" si="1"/>
        <v>100</v>
      </c>
      <c r="V10" s="3855" t="s">
        <v>13</v>
      </c>
      <c r="W10" s="3327">
        <f t="shared" si="2"/>
        <v>100</v>
      </c>
      <c r="X10" s="493"/>
      <c r="Y10" s="4393"/>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392"/>
      <c r="Q11" s="1742" t="str">
        <f t="shared" si="6"/>
        <v>容积率</v>
      </c>
      <c r="R11" s="3855" t="s">
        <v>13</v>
      </c>
      <c r="S11" s="3327" t="e">
        <f t="shared" si="0"/>
        <v>#N/A</v>
      </c>
      <c r="T11" s="3855" t="s">
        <v>13</v>
      </c>
      <c r="U11" s="3327" t="e">
        <f t="shared" si="1"/>
        <v>#N/A</v>
      </c>
      <c r="V11" s="3855" t="s">
        <v>13</v>
      </c>
      <c r="W11" s="3327" t="e">
        <f t="shared" si="2"/>
        <v>#N/A</v>
      </c>
      <c r="X11" s="493"/>
      <c r="Y11" s="4393"/>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392"/>
      <c r="Q12" s="1742">
        <f t="shared" si="6"/>
        <v>111</v>
      </c>
      <c r="R12" s="3855" t="s">
        <v>13</v>
      </c>
      <c r="S12" s="3327">
        <f t="shared" si="0"/>
        <v>100</v>
      </c>
      <c r="T12" s="3855" t="s">
        <v>13</v>
      </c>
      <c r="U12" s="3327">
        <f t="shared" si="1"/>
        <v>100</v>
      </c>
      <c r="V12" s="3855" t="s">
        <v>13</v>
      </c>
      <c r="W12" s="3327">
        <f t="shared" si="2"/>
        <v>100</v>
      </c>
      <c r="X12" s="493"/>
      <c r="Y12" s="439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392"/>
      <c r="Q13" s="1742">
        <f t="shared" si="6"/>
        <v>111</v>
      </c>
      <c r="R13" s="3855" t="s">
        <v>13</v>
      </c>
      <c r="S13" s="3327">
        <f t="shared" si="0"/>
        <v>100</v>
      </c>
      <c r="T13" s="3855" t="s">
        <v>13</v>
      </c>
      <c r="U13" s="3327">
        <f t="shared" si="1"/>
        <v>100</v>
      </c>
      <c r="V13" s="3855" t="s">
        <v>13</v>
      </c>
      <c r="W13" s="3327">
        <f t="shared" si="2"/>
        <v>100</v>
      </c>
      <c r="X13" s="493"/>
      <c r="Y13" s="4393"/>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392"/>
      <c r="Q14" s="1742">
        <f t="shared" si="6"/>
        <v>111</v>
      </c>
      <c r="R14" s="3855" t="s">
        <v>13</v>
      </c>
      <c r="S14" s="3327">
        <f t="shared" si="0"/>
        <v>100</v>
      </c>
      <c r="T14" s="3855" t="s">
        <v>13</v>
      </c>
      <c r="U14" s="3327">
        <f t="shared" si="1"/>
        <v>100</v>
      </c>
      <c r="V14" s="3855" t="s">
        <v>13</v>
      </c>
      <c r="W14" s="3327">
        <f t="shared" si="2"/>
        <v>100</v>
      </c>
      <c r="X14" s="493"/>
      <c r="Y14" s="4393"/>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28" t="s">
        <v>1608</v>
      </c>
      <c r="Q15" s="1544" t="str">
        <f t="shared" si="6"/>
        <v>商业繁华度</v>
      </c>
      <c r="R15" s="3961" t="s">
        <v>13</v>
      </c>
      <c r="S15" s="3328">
        <f t="shared" si="0"/>
        <v>100</v>
      </c>
      <c r="T15" s="3961" t="s">
        <v>13</v>
      </c>
      <c r="U15" s="3328">
        <f t="shared" si="1"/>
        <v>100</v>
      </c>
      <c r="V15" s="3961" t="s">
        <v>13</v>
      </c>
      <c r="W15" s="3328">
        <f t="shared" si="2"/>
        <v>100</v>
      </c>
      <c r="X15" s="946"/>
      <c r="Y15" s="4421"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29"/>
      <c r="Q16" s="1544"/>
      <c r="R16" s="3961"/>
      <c r="S16" s="3328"/>
      <c r="T16" s="3961"/>
      <c r="U16" s="3328"/>
      <c r="V16" s="3961"/>
      <c r="W16" s="3328"/>
      <c r="X16" s="946"/>
      <c r="Y16" s="442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29"/>
      <c r="Q17" s="1544" t="str">
        <f>B17</f>
        <v>交通便捷度</v>
      </c>
      <c r="R17" s="3961" t="s">
        <v>13</v>
      </c>
      <c r="S17" s="3328">
        <f>F17</f>
        <v>100</v>
      </c>
      <c r="T17" s="3961" t="s">
        <v>13</v>
      </c>
      <c r="U17" s="3328">
        <f>H17</f>
        <v>100</v>
      </c>
      <c r="V17" s="3961" t="s">
        <v>13</v>
      </c>
      <c r="W17" s="3328">
        <f>J17</f>
        <v>100</v>
      </c>
      <c r="X17" s="946"/>
      <c r="Y17" s="4422"/>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29"/>
      <c r="Q18" s="1544"/>
      <c r="R18" s="3961"/>
      <c r="S18" s="3328"/>
      <c r="T18" s="3961"/>
      <c r="U18" s="3328"/>
      <c r="V18" s="3961"/>
      <c r="W18" s="3328"/>
      <c r="X18" s="946"/>
      <c r="Y18" s="4422"/>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29"/>
      <c r="Q19" s="1544" t="str">
        <f>B19</f>
        <v>公共配套设施</v>
      </c>
      <c r="R19" s="3961" t="s">
        <v>13</v>
      </c>
      <c r="S19" s="3328">
        <f>F19</f>
        <v>100</v>
      </c>
      <c r="T19" s="3961" t="s">
        <v>13</v>
      </c>
      <c r="U19" s="3328">
        <f>H19</f>
        <v>100</v>
      </c>
      <c r="V19" s="3961" t="s">
        <v>13</v>
      </c>
      <c r="W19" s="3328">
        <f>J19</f>
        <v>100</v>
      </c>
      <c r="X19" s="946"/>
      <c r="Y19" s="4422"/>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29"/>
      <c r="Q20" s="1544"/>
      <c r="R20" s="3961"/>
      <c r="S20" s="3328"/>
      <c r="T20" s="3961"/>
      <c r="U20" s="3328"/>
      <c r="V20" s="3961"/>
      <c r="W20" s="3328"/>
      <c r="X20" s="946"/>
      <c r="Y20" s="4422"/>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29"/>
      <c r="Q21" s="1544" t="str">
        <f>B21</f>
        <v>基础设施水平</v>
      </c>
      <c r="R21" s="3961" t="s">
        <v>13</v>
      </c>
      <c r="S21" s="3328">
        <f>F21</f>
        <v>100</v>
      </c>
      <c r="T21" s="3961" t="s">
        <v>13</v>
      </c>
      <c r="U21" s="3328">
        <f>H21</f>
        <v>100</v>
      </c>
      <c r="V21" s="3961" t="s">
        <v>13</v>
      </c>
      <c r="W21" s="3328">
        <f>J21</f>
        <v>100</v>
      </c>
      <c r="X21" s="946"/>
      <c r="Y21" s="442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29"/>
      <c r="Q22" s="1544"/>
      <c r="R22" s="3961"/>
      <c r="S22" s="3328"/>
      <c r="T22" s="3961"/>
      <c r="U22" s="3328"/>
      <c r="V22" s="3961"/>
      <c r="W22" s="3328"/>
      <c r="X22" s="946"/>
      <c r="Y22" s="4422"/>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29"/>
      <c r="Q23" s="1544" t="str">
        <f>B23</f>
        <v>自然及人文环境</v>
      </c>
      <c r="R23" s="3961" t="s">
        <v>13</v>
      </c>
      <c r="S23" s="3328">
        <f>F23</f>
        <v>100</v>
      </c>
      <c r="T23" s="3961" t="s">
        <v>13</v>
      </c>
      <c r="U23" s="3328">
        <f>H23</f>
        <v>100</v>
      </c>
      <c r="V23" s="3961" t="s">
        <v>13</v>
      </c>
      <c r="W23" s="3328">
        <f>J23</f>
        <v>100</v>
      </c>
      <c r="X23" s="946"/>
      <c r="Y23" s="4422"/>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29"/>
      <c r="Q24" s="1544"/>
      <c r="R24" s="3961"/>
      <c r="S24" s="3328"/>
      <c r="T24" s="3961"/>
      <c r="U24" s="3328"/>
      <c r="V24" s="3961"/>
      <c r="W24" s="3328"/>
      <c r="X24" s="946"/>
      <c r="Y24" s="4422"/>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29"/>
      <c r="Q25" s="1544" t="str">
        <f t="shared" ref="Q25:Q46" si="11">B25</f>
        <v>临街状况</v>
      </c>
      <c r="R25" s="3961" t="s">
        <v>13</v>
      </c>
      <c r="S25" s="3328">
        <f>F25</f>
        <v>100</v>
      </c>
      <c r="T25" s="3961" t="s">
        <v>13</v>
      </c>
      <c r="U25" s="3328">
        <f>H25</f>
        <v>100</v>
      </c>
      <c r="V25" s="3961" t="s">
        <v>13</v>
      </c>
      <c r="W25" s="3328">
        <f>J25</f>
        <v>100</v>
      </c>
      <c r="X25" s="946"/>
      <c r="Y25" s="4422"/>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29"/>
      <c r="Q26" s="1544" t="str">
        <f t="shared" si="11"/>
        <v>平面位置/可视性</v>
      </c>
      <c r="R26" s="3961" t="s">
        <v>13</v>
      </c>
      <c r="S26" s="3328">
        <f>F26</f>
        <v>100</v>
      </c>
      <c r="T26" s="3961" t="s">
        <v>13</v>
      </c>
      <c r="U26" s="3328">
        <f>H26</f>
        <v>100</v>
      </c>
      <c r="V26" s="3961" t="s">
        <v>13</v>
      </c>
      <c r="W26" s="3328">
        <f>J26</f>
        <v>100</v>
      </c>
      <c r="X26" s="946"/>
      <c r="Y26" s="4422"/>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29"/>
      <c r="Q27" s="1742" t="str">
        <f t="shared" si="11"/>
        <v>人流量</v>
      </c>
      <c r="R27" s="3855" t="s">
        <v>13</v>
      </c>
      <c r="S27" s="3327">
        <f>F27</f>
        <v>100</v>
      </c>
      <c r="T27" s="3855" t="s">
        <v>13</v>
      </c>
      <c r="U27" s="3327">
        <f>H27</f>
        <v>100</v>
      </c>
      <c r="V27" s="3855" t="s">
        <v>13</v>
      </c>
      <c r="W27" s="3327">
        <f>J27</f>
        <v>100</v>
      </c>
      <c r="X27" s="493"/>
      <c r="Y27" s="4422"/>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29"/>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22"/>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29"/>
      <c r="Q29" s="1544">
        <f t="shared" si="11"/>
        <v>111</v>
      </c>
      <c r="R29" s="3961" t="s">
        <v>13</v>
      </c>
      <c r="S29" s="3328">
        <f t="shared" si="12"/>
        <v>100</v>
      </c>
      <c r="T29" s="3961" t="s">
        <v>13</v>
      </c>
      <c r="U29" s="3328">
        <f t="shared" si="13"/>
        <v>100</v>
      </c>
      <c r="V29" s="3961" t="s">
        <v>13</v>
      </c>
      <c r="W29" s="3328">
        <f t="shared" si="14"/>
        <v>100</v>
      </c>
      <c r="X29" s="946"/>
      <c r="Y29" s="4422"/>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29"/>
      <c r="Q30" s="1544">
        <f t="shared" si="11"/>
        <v>111</v>
      </c>
      <c r="R30" s="3961" t="s">
        <v>13</v>
      </c>
      <c r="S30" s="3328">
        <f t="shared" si="12"/>
        <v>100</v>
      </c>
      <c r="T30" s="3961" t="s">
        <v>13</v>
      </c>
      <c r="U30" s="3328">
        <f t="shared" si="13"/>
        <v>100</v>
      </c>
      <c r="V30" s="3961" t="s">
        <v>13</v>
      </c>
      <c r="W30" s="3328">
        <f t="shared" si="14"/>
        <v>100</v>
      </c>
      <c r="X30" s="946"/>
      <c r="Y30" s="4422"/>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29"/>
      <c r="Q31" s="1544">
        <f t="shared" si="11"/>
        <v>111</v>
      </c>
      <c r="R31" s="3961" t="s">
        <v>13</v>
      </c>
      <c r="S31" s="3328">
        <f t="shared" si="12"/>
        <v>100</v>
      </c>
      <c r="T31" s="3961" t="s">
        <v>13</v>
      </c>
      <c r="U31" s="3328">
        <f t="shared" si="13"/>
        <v>100</v>
      </c>
      <c r="V31" s="3961" t="s">
        <v>13</v>
      </c>
      <c r="W31" s="3328">
        <f t="shared" si="14"/>
        <v>100</v>
      </c>
      <c r="X31" s="946"/>
      <c r="Y31" s="4422"/>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23" t="s">
        <v>1613</v>
      </c>
      <c r="Q32" s="1544" t="str">
        <f t="shared" si="11"/>
        <v>商业类型</v>
      </c>
      <c r="R32" s="3961" t="s">
        <v>13</v>
      </c>
      <c r="S32" s="3328">
        <f t="shared" si="12"/>
        <v>100</v>
      </c>
      <c r="T32" s="3961" t="s">
        <v>13</v>
      </c>
      <c r="U32" s="3328">
        <f t="shared" si="13"/>
        <v>100</v>
      </c>
      <c r="V32" s="3961" t="s">
        <v>13</v>
      </c>
      <c r="W32" s="3328">
        <f t="shared" si="14"/>
        <v>100</v>
      </c>
      <c r="X32" s="946"/>
      <c r="Y32" s="4426"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24"/>
      <c r="Q33" s="392" t="str">
        <f t="shared" si="11"/>
        <v>项目建筑规模</v>
      </c>
      <c r="R33" s="3962" t="s">
        <v>13</v>
      </c>
      <c r="S33" s="3329" t="e">
        <f t="shared" si="12"/>
        <v>#N/A</v>
      </c>
      <c r="T33" s="3962" t="s">
        <v>13</v>
      </c>
      <c r="U33" s="3329" t="e">
        <f t="shared" si="13"/>
        <v>#N/A</v>
      </c>
      <c r="V33" s="3962" t="s">
        <v>13</v>
      </c>
      <c r="W33" s="3329" t="e">
        <f t="shared" si="14"/>
        <v>#N/A</v>
      </c>
      <c r="X33" s="494"/>
      <c r="Y33" s="4426"/>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24"/>
      <c r="Q34" s="1544" t="str">
        <f t="shared" si="11"/>
        <v>建筑结构</v>
      </c>
      <c r="R34" s="3961" t="s">
        <v>13</v>
      </c>
      <c r="S34" s="3328">
        <f t="shared" si="12"/>
        <v>100</v>
      </c>
      <c r="T34" s="3961" t="s">
        <v>13</v>
      </c>
      <c r="U34" s="3328">
        <f t="shared" si="13"/>
        <v>100</v>
      </c>
      <c r="V34" s="3961" t="s">
        <v>13</v>
      </c>
      <c r="W34" s="3328">
        <f t="shared" si="14"/>
        <v>100</v>
      </c>
      <c r="X34" s="946"/>
      <c r="Y34" s="4426"/>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24"/>
      <c r="Q35" s="1544" t="str">
        <f t="shared" si="11"/>
        <v>公共部分装修</v>
      </c>
      <c r="R35" s="3961" t="s">
        <v>13</v>
      </c>
      <c r="S35" s="3328">
        <f t="shared" si="12"/>
        <v>100</v>
      </c>
      <c r="T35" s="3961" t="s">
        <v>13</v>
      </c>
      <c r="U35" s="3328">
        <f t="shared" si="13"/>
        <v>100</v>
      </c>
      <c r="V35" s="3961" t="s">
        <v>13</v>
      </c>
      <c r="W35" s="3328">
        <f t="shared" si="14"/>
        <v>100</v>
      </c>
      <c r="X35" s="946"/>
      <c r="Y35" s="4426"/>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24"/>
      <c r="Q36" s="1544" t="str">
        <f t="shared" si="11"/>
        <v>成新度</v>
      </c>
      <c r="R36" s="3961" t="s">
        <v>13</v>
      </c>
      <c r="S36" s="3328" t="e">
        <f t="shared" si="12"/>
        <v>#N/A</v>
      </c>
      <c r="T36" s="3961" t="s">
        <v>13</v>
      </c>
      <c r="U36" s="3328" t="e">
        <f t="shared" si="13"/>
        <v>#N/A</v>
      </c>
      <c r="V36" s="3961" t="s">
        <v>13</v>
      </c>
      <c r="W36" s="3328" t="e">
        <f t="shared" si="14"/>
        <v>#N/A</v>
      </c>
      <c r="X36" s="946"/>
      <c r="Y36" s="4426"/>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24"/>
      <c r="Q37" s="1742" t="str">
        <f t="shared" si="11"/>
        <v>市政基础设施</v>
      </c>
      <c r="R37" s="3855" t="s">
        <v>13</v>
      </c>
      <c r="S37" s="3327">
        <f t="shared" si="12"/>
        <v>100</v>
      </c>
      <c r="T37" s="3855" t="s">
        <v>13</v>
      </c>
      <c r="U37" s="3327">
        <f t="shared" si="13"/>
        <v>100</v>
      </c>
      <c r="V37" s="3855" t="s">
        <v>13</v>
      </c>
      <c r="W37" s="3327">
        <f t="shared" si="14"/>
        <v>100</v>
      </c>
      <c r="X37" s="493"/>
      <c r="Y37" s="4426"/>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24" t="s">
        <v>1613</v>
      </c>
      <c r="Q38" s="1544" t="str">
        <f t="shared" si="11"/>
        <v>业态</v>
      </c>
      <c r="R38" s="3961" t="s">
        <v>13</v>
      </c>
      <c r="S38" s="3328">
        <f t="shared" si="12"/>
        <v>100</v>
      </c>
      <c r="T38" s="3961" t="s">
        <v>13</v>
      </c>
      <c r="U38" s="3328">
        <f t="shared" si="13"/>
        <v>100</v>
      </c>
      <c r="V38" s="3961" t="s">
        <v>13</v>
      </c>
      <c r="W38" s="3328">
        <f t="shared" si="14"/>
        <v>100</v>
      </c>
      <c r="X38" s="946"/>
      <c r="Y38" s="4426"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24"/>
      <c r="Q39" s="1544" t="str">
        <f t="shared" si="11"/>
        <v>层高</v>
      </c>
      <c r="R39" s="3961" t="s">
        <v>13</v>
      </c>
      <c r="S39" s="3328">
        <f t="shared" si="12"/>
        <v>100</v>
      </c>
      <c r="T39" s="3961" t="s">
        <v>13</v>
      </c>
      <c r="U39" s="3328">
        <f t="shared" si="13"/>
        <v>100</v>
      </c>
      <c r="V39" s="3961" t="s">
        <v>13</v>
      </c>
      <c r="W39" s="3328">
        <f t="shared" si="14"/>
        <v>100</v>
      </c>
      <c r="X39" s="946"/>
      <c r="Y39" s="4426"/>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24"/>
      <c r="Q40" s="1544" t="str">
        <f t="shared" si="11"/>
        <v>单套建筑面积</v>
      </c>
      <c r="R40" s="3961" t="s">
        <v>13</v>
      </c>
      <c r="S40" s="3328">
        <f t="shared" si="12"/>
        <v>100</v>
      </c>
      <c r="T40" s="3961" t="s">
        <v>13</v>
      </c>
      <c r="U40" s="3328">
        <f t="shared" si="13"/>
        <v>100</v>
      </c>
      <c r="V40" s="3961" t="s">
        <v>13</v>
      </c>
      <c r="W40" s="3328">
        <f t="shared" si="14"/>
        <v>100</v>
      </c>
      <c r="X40" s="946"/>
      <c r="Y40" s="4426"/>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24"/>
      <c r="Q41" s="392" t="str">
        <f t="shared" si="11"/>
        <v>进深比</v>
      </c>
      <c r="R41" s="3962" t="s">
        <v>13</v>
      </c>
      <c r="S41" s="3329">
        <f t="shared" si="12"/>
        <v>100</v>
      </c>
      <c r="T41" s="3962" t="s">
        <v>13</v>
      </c>
      <c r="U41" s="3329">
        <f t="shared" si="13"/>
        <v>100</v>
      </c>
      <c r="V41" s="3962" t="s">
        <v>13</v>
      </c>
      <c r="W41" s="3329">
        <f t="shared" si="14"/>
        <v>100</v>
      </c>
      <c r="X41" s="494"/>
      <c r="Y41" s="4426"/>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24"/>
      <c r="Q42" s="1544" t="str">
        <f t="shared" si="11"/>
        <v>内部装修</v>
      </c>
      <c r="R42" s="3961" t="s">
        <v>13</v>
      </c>
      <c r="S42" s="3328">
        <f t="shared" si="12"/>
        <v>100</v>
      </c>
      <c r="T42" s="3961" t="s">
        <v>13</v>
      </c>
      <c r="U42" s="3328">
        <f t="shared" si="13"/>
        <v>100</v>
      </c>
      <c r="V42" s="3961" t="s">
        <v>13</v>
      </c>
      <c r="W42" s="3328">
        <f t="shared" si="14"/>
        <v>100</v>
      </c>
      <c r="X42" s="946"/>
      <c r="Y42" s="4426"/>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24"/>
      <c r="Q43" s="1544" t="str">
        <f t="shared" si="11"/>
        <v>内部装修维护情况</v>
      </c>
      <c r="R43" s="3961" t="s">
        <v>13</v>
      </c>
      <c r="S43" s="3328">
        <f t="shared" si="12"/>
        <v>100</v>
      </c>
      <c r="T43" s="3961" t="s">
        <v>13</v>
      </c>
      <c r="U43" s="3328">
        <f t="shared" si="13"/>
        <v>100</v>
      </c>
      <c r="V43" s="3961" t="s">
        <v>13</v>
      </c>
      <c r="W43" s="3328">
        <f t="shared" si="14"/>
        <v>100</v>
      </c>
      <c r="X43" s="946"/>
      <c r="Y43" s="4426"/>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24"/>
      <c r="Q44" s="1742">
        <f t="shared" si="11"/>
        <v>111</v>
      </c>
      <c r="R44" s="3855" t="s">
        <v>13</v>
      </c>
      <c r="S44" s="3327">
        <f t="shared" si="12"/>
        <v>100</v>
      </c>
      <c r="T44" s="3855" t="s">
        <v>13</v>
      </c>
      <c r="U44" s="3327">
        <f t="shared" si="13"/>
        <v>100</v>
      </c>
      <c r="V44" s="3855" t="s">
        <v>13</v>
      </c>
      <c r="W44" s="3327">
        <f t="shared" si="14"/>
        <v>100</v>
      </c>
      <c r="X44" s="493"/>
      <c r="Y44" s="4426"/>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24"/>
      <c r="Q45" s="1544">
        <f t="shared" si="11"/>
        <v>111</v>
      </c>
      <c r="R45" s="3961" t="s">
        <v>13</v>
      </c>
      <c r="S45" s="3328">
        <f t="shared" si="12"/>
        <v>100</v>
      </c>
      <c r="T45" s="3961" t="s">
        <v>13</v>
      </c>
      <c r="U45" s="3328">
        <f t="shared" si="13"/>
        <v>100</v>
      </c>
      <c r="V45" s="3961" t="s">
        <v>13</v>
      </c>
      <c r="W45" s="3328">
        <f t="shared" si="14"/>
        <v>100</v>
      </c>
      <c r="X45" s="946"/>
      <c r="Y45" s="4426"/>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25"/>
      <c r="Q46" s="1544">
        <f t="shared" si="11"/>
        <v>111</v>
      </c>
      <c r="R46" s="3961" t="s">
        <v>13</v>
      </c>
      <c r="S46" s="3328">
        <f t="shared" si="12"/>
        <v>100</v>
      </c>
      <c r="T46" s="3961" t="s">
        <v>13</v>
      </c>
      <c r="U46" s="3328">
        <f t="shared" si="13"/>
        <v>100</v>
      </c>
      <c r="V46" s="3961" t="s">
        <v>13</v>
      </c>
      <c r="W46" s="3328">
        <f t="shared" si="14"/>
        <v>100</v>
      </c>
      <c r="X46" s="946"/>
      <c r="Y46" s="4427"/>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419" t="str">
        <f>A47</f>
        <v>成交单价（元/平方米）</v>
      </c>
      <c r="Q47" s="4419"/>
      <c r="R47" s="4420">
        <f>E47</f>
        <v>0</v>
      </c>
      <c r="S47" s="4420"/>
      <c r="T47" s="4420">
        <f>G47</f>
        <v>0</v>
      </c>
      <c r="U47" s="4420"/>
      <c r="V47" s="4420">
        <f>I47</f>
        <v>0</v>
      </c>
      <c r="W47" s="4420"/>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419" t="str">
        <f>A48</f>
        <v>比较价值（元/平方米）</v>
      </c>
      <c r="Q48" s="4419"/>
      <c r="R48" s="4420" t="e">
        <f>IF(F1="售价",ROUND(PRODUCT(R47,AA7:AA46),0),ROUND(PRODUCT(R47,AA7:AA46),1))</f>
        <v>#DIV/0!</v>
      </c>
      <c r="S48" s="4420"/>
      <c r="T48" s="4420" t="e">
        <f>IF(F1="售价",ROUND(PRODUCT(T47,AB7:AB46),0),ROUND(PRODUCT(T47,AB7:AB46),1))</f>
        <v>#DIV/0!</v>
      </c>
      <c r="U48" s="4420"/>
      <c r="V48" s="4420" t="e">
        <f>IF(F1="售价",ROUND(PRODUCT(V47,AC7:AC46),0),ROUND(PRODUCT(V47,AC7:AC46),1))</f>
        <v>#DIV/0!</v>
      </c>
      <c r="W48" s="4420"/>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416" t="str">
        <f>A49</f>
        <v>估价对象XX用房的比较价值（楼面单价，元/平方米）</v>
      </c>
      <c r="Q49" s="4417"/>
      <c r="R49" s="4418" t="e">
        <f>IF(F1="售价",ROUND(IF(D48="简单平均",AVERAGE(R48:V48),R48*F48+T48*H48+V48*J48),0),ROUND(IF(D48="简单平均",AVERAGE(R48:V48),R48*F48+T48*H48+V48*J48),1))</f>
        <v>#DIV/0!</v>
      </c>
      <c r="S49" s="4418"/>
      <c r="T49" s="4418"/>
      <c r="U49" s="4418"/>
      <c r="V49" s="4418"/>
      <c r="W49" s="441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2026-3</v>
      </c>
      <c r="D58" s="815">
        <f>EDATE(C58,-1)</f>
        <v>46054</v>
      </c>
      <c r="E58" s="815">
        <f t="shared" ref="E58:N58" si="16">EDATE(D58,-1)</f>
        <v>46023</v>
      </c>
      <c r="F58" s="815">
        <f t="shared" si="16"/>
        <v>45992</v>
      </c>
      <c r="G58" s="815">
        <f t="shared" si="16"/>
        <v>45962</v>
      </c>
      <c r="H58" s="815">
        <f t="shared" si="16"/>
        <v>45931</v>
      </c>
      <c r="I58" s="815">
        <f t="shared" si="16"/>
        <v>45901</v>
      </c>
      <c r="J58" s="815">
        <f t="shared" si="16"/>
        <v>45870</v>
      </c>
      <c r="K58" s="815">
        <f t="shared" si="16"/>
        <v>45839</v>
      </c>
      <c r="L58" s="815">
        <f t="shared" si="16"/>
        <v>45809</v>
      </c>
      <c r="M58" s="815">
        <f t="shared" si="16"/>
        <v>45778</v>
      </c>
      <c r="N58" s="815">
        <f t="shared" si="16"/>
        <v>45748</v>
      </c>
      <c r="O58" s="815">
        <f>EDATE(N58,-1)</f>
        <v>45717</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77" t="s">
        <v>1687</v>
      </c>
      <c r="D4" s="4478"/>
      <c r="E4" s="4479" t="s">
        <v>1688</v>
      </c>
      <c r="F4" s="4480"/>
      <c r="G4" s="4477" t="s">
        <v>1689</v>
      </c>
      <c r="H4" s="4478"/>
      <c r="I4" s="4477" t="s">
        <v>1690</v>
      </c>
      <c r="J4" s="4478"/>
      <c r="K4" s="397" t="s">
        <v>1691</v>
      </c>
      <c r="L4" s="2020"/>
      <c r="M4" s="2021"/>
      <c r="N4" s="2021"/>
      <c r="O4" s="2021"/>
      <c r="P4" s="4481" t="s">
        <v>1692</v>
      </c>
      <c r="Q4" s="4482"/>
      <c r="R4" s="4464" t="s">
        <v>1688</v>
      </c>
      <c r="S4" s="4465"/>
      <c r="T4" s="4464" t="s">
        <v>1689</v>
      </c>
      <c r="U4" s="4465"/>
      <c r="V4" s="4485" t="s">
        <v>1690</v>
      </c>
      <c r="W4" s="4485"/>
      <c r="X4" s="1450"/>
      <c r="Y4" s="4487" t="s">
        <v>1692</v>
      </c>
      <c r="Z4" s="4488"/>
      <c r="AA4" s="4463" t="s">
        <v>1688</v>
      </c>
      <c r="AB4" s="4463" t="s">
        <v>1689</v>
      </c>
      <c r="AC4" s="4474" t="s">
        <v>1690</v>
      </c>
    </row>
    <row r="5" spans="1:29">
      <c r="A5" s="239"/>
      <c r="B5" s="240"/>
      <c r="C5" s="4468" t="s">
        <v>1590</v>
      </c>
      <c r="D5" s="4469"/>
      <c r="E5" s="4466" t="s">
        <v>1591</v>
      </c>
      <c r="F5" s="4467"/>
      <c r="G5" s="4468" t="s">
        <v>1592</v>
      </c>
      <c r="H5" s="4469"/>
      <c r="I5" s="4468" t="s">
        <v>1593</v>
      </c>
      <c r="J5" s="4469"/>
      <c r="K5" s="397"/>
      <c r="L5" s="2020"/>
      <c r="M5" s="2021"/>
      <c r="N5" s="2021"/>
      <c r="O5" s="2021"/>
      <c r="P5" s="4483"/>
      <c r="Q5" s="4401"/>
      <c r="R5" s="4381"/>
      <c r="S5" s="4382"/>
      <c r="T5" s="4381"/>
      <c r="U5" s="4382"/>
      <c r="V5" s="4406"/>
      <c r="W5" s="4406"/>
      <c r="X5" s="946"/>
      <c r="Y5" s="4411"/>
      <c r="Z5" s="4412"/>
      <c r="AA5" s="4375"/>
      <c r="AB5" s="4375"/>
      <c r="AC5" s="4475"/>
    </row>
    <row r="6" spans="1:29" ht="15" thickBot="1">
      <c r="A6" s="241"/>
      <c r="B6" s="242"/>
      <c r="C6" s="4470" t="s">
        <v>1594</v>
      </c>
      <c r="D6" s="4471"/>
      <c r="E6" s="4472" t="s">
        <v>1594</v>
      </c>
      <c r="F6" s="4473"/>
      <c r="G6" s="4470" t="s">
        <v>1594</v>
      </c>
      <c r="H6" s="4471"/>
      <c r="I6" s="4470" t="s">
        <v>1594</v>
      </c>
      <c r="J6" s="4471"/>
      <c r="K6" s="397" t="s">
        <v>1595</v>
      </c>
      <c r="L6" s="2020"/>
      <c r="M6" s="2021"/>
      <c r="N6" s="2021"/>
      <c r="O6" s="2021"/>
      <c r="P6" s="4484"/>
      <c r="Q6" s="4403"/>
      <c r="R6" s="4381"/>
      <c r="S6" s="4382"/>
      <c r="T6" s="4404"/>
      <c r="U6" s="4405"/>
      <c r="V6" s="4406"/>
      <c r="W6" s="4406"/>
      <c r="X6" s="946"/>
      <c r="Y6" s="4413"/>
      <c r="Z6" s="4414"/>
      <c r="AA6" s="4376"/>
      <c r="AB6" s="4376"/>
      <c r="AC6" s="4476"/>
    </row>
    <row r="7" spans="1:29" s="46" customFormat="1" ht="15" thickBot="1">
      <c r="A7" s="243" t="s">
        <v>1596</v>
      </c>
      <c r="B7" s="244"/>
      <c r="C7" s="245">
        <f>'数据-取费表'!B2</f>
        <v>46100</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86" t="s">
        <v>1597</v>
      </c>
      <c r="Q7" s="4415"/>
      <c r="R7" s="3855" t="s">
        <v>13</v>
      </c>
      <c r="S7" s="3327">
        <f t="shared" ref="S7:S15" si="0">F7</f>
        <v>0</v>
      </c>
      <c r="T7" s="3855" t="s">
        <v>13</v>
      </c>
      <c r="U7" s="3327">
        <f t="shared" ref="U7:U15" si="1">H7</f>
        <v>0</v>
      </c>
      <c r="V7" s="3855" t="s">
        <v>13</v>
      </c>
      <c r="W7" s="3327">
        <f t="shared" ref="W7:W15" si="2">J7</f>
        <v>0</v>
      </c>
      <c r="X7" s="493"/>
      <c r="Y7" s="4377" t="s">
        <v>1597</v>
      </c>
      <c r="Z7" s="4378"/>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86" t="s">
        <v>1600</v>
      </c>
      <c r="Q8" s="4408"/>
      <c r="R8" s="3855" t="s">
        <v>13</v>
      </c>
      <c r="S8" s="3327">
        <f t="shared" si="0"/>
        <v>100</v>
      </c>
      <c r="T8" s="3855" t="s">
        <v>13</v>
      </c>
      <c r="U8" s="3327">
        <f t="shared" si="1"/>
        <v>100</v>
      </c>
      <c r="V8" s="3855" t="s">
        <v>13</v>
      </c>
      <c r="W8" s="3327">
        <f t="shared" si="2"/>
        <v>100</v>
      </c>
      <c r="X8" s="493"/>
      <c r="Y8" s="4377" t="s">
        <v>1600</v>
      </c>
      <c r="Z8" s="4378"/>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392" t="s">
        <v>1603</v>
      </c>
      <c r="Q9" s="1742" t="str">
        <f t="shared" ref="Q9:Q15" si="6">B9</f>
        <v>用途</v>
      </c>
      <c r="R9" s="3855" t="s">
        <v>13</v>
      </c>
      <c r="S9" s="3327">
        <f t="shared" si="0"/>
        <v>100</v>
      </c>
      <c r="T9" s="3855" t="s">
        <v>13</v>
      </c>
      <c r="U9" s="3327">
        <f t="shared" si="1"/>
        <v>100</v>
      </c>
      <c r="V9" s="3855" t="s">
        <v>13</v>
      </c>
      <c r="W9" s="3327">
        <f t="shared" si="2"/>
        <v>100</v>
      </c>
      <c r="X9" s="493"/>
      <c r="Y9" s="4393"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392"/>
      <c r="Q10" s="1742" t="str">
        <f t="shared" si="6"/>
        <v>土地使用年限（年）</v>
      </c>
      <c r="R10" s="3855" t="s">
        <v>13</v>
      </c>
      <c r="S10" s="3327">
        <f t="shared" si="0"/>
        <v>100</v>
      </c>
      <c r="T10" s="3855" t="s">
        <v>13</v>
      </c>
      <c r="U10" s="3327">
        <f t="shared" si="1"/>
        <v>100</v>
      </c>
      <c r="V10" s="3855" t="s">
        <v>13</v>
      </c>
      <c r="W10" s="3327">
        <f t="shared" si="2"/>
        <v>100</v>
      </c>
      <c r="X10" s="493"/>
      <c r="Y10" s="4393"/>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392"/>
      <c r="Q11" s="1742" t="str">
        <f t="shared" si="6"/>
        <v>容积率</v>
      </c>
      <c r="R11" s="3855" t="s">
        <v>13</v>
      </c>
      <c r="S11" s="3327">
        <f t="shared" si="0"/>
        <v>100</v>
      </c>
      <c r="T11" s="3855" t="s">
        <v>13</v>
      </c>
      <c r="U11" s="3327">
        <f t="shared" si="1"/>
        <v>100</v>
      </c>
      <c r="V11" s="3855" t="s">
        <v>13</v>
      </c>
      <c r="W11" s="3327">
        <f t="shared" si="2"/>
        <v>100</v>
      </c>
      <c r="X11" s="493"/>
      <c r="Y11" s="4393"/>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392"/>
      <c r="Q12" s="1742">
        <f t="shared" si="6"/>
        <v>111</v>
      </c>
      <c r="R12" s="3855" t="s">
        <v>13</v>
      </c>
      <c r="S12" s="3327">
        <f t="shared" si="0"/>
        <v>100</v>
      </c>
      <c r="T12" s="3855" t="s">
        <v>13</v>
      </c>
      <c r="U12" s="3327">
        <f t="shared" si="1"/>
        <v>100</v>
      </c>
      <c r="V12" s="3855" t="s">
        <v>13</v>
      </c>
      <c r="W12" s="3327">
        <f t="shared" si="2"/>
        <v>100</v>
      </c>
      <c r="X12" s="493"/>
      <c r="Y12" s="4393"/>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392"/>
      <c r="Q13" s="1742">
        <f t="shared" si="6"/>
        <v>111</v>
      </c>
      <c r="R13" s="3855" t="s">
        <v>13</v>
      </c>
      <c r="S13" s="3327">
        <f t="shared" si="0"/>
        <v>100</v>
      </c>
      <c r="T13" s="3855" t="s">
        <v>13</v>
      </c>
      <c r="U13" s="3327">
        <f t="shared" si="1"/>
        <v>100</v>
      </c>
      <c r="V13" s="3855" t="s">
        <v>13</v>
      </c>
      <c r="W13" s="3327">
        <f t="shared" si="2"/>
        <v>100</v>
      </c>
      <c r="X13" s="493"/>
      <c r="Y13" s="4393"/>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392"/>
      <c r="Q14" s="1742">
        <f t="shared" si="6"/>
        <v>111</v>
      </c>
      <c r="R14" s="3855" t="s">
        <v>13</v>
      </c>
      <c r="S14" s="3327">
        <f t="shared" si="0"/>
        <v>100</v>
      </c>
      <c r="T14" s="3855" t="s">
        <v>13</v>
      </c>
      <c r="U14" s="3327">
        <f t="shared" si="1"/>
        <v>100</v>
      </c>
      <c r="V14" s="3855" t="s">
        <v>13</v>
      </c>
      <c r="W14" s="3327">
        <f t="shared" si="2"/>
        <v>100</v>
      </c>
      <c r="X14" s="493"/>
      <c r="Y14" s="4393"/>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28" t="s">
        <v>1608</v>
      </c>
      <c r="Q15" s="1544" t="str">
        <f t="shared" si="6"/>
        <v>办公集聚程度</v>
      </c>
      <c r="R15" s="3961" t="s">
        <v>13</v>
      </c>
      <c r="S15" s="3328">
        <f t="shared" si="0"/>
        <v>100</v>
      </c>
      <c r="T15" s="3961" t="s">
        <v>13</v>
      </c>
      <c r="U15" s="3328">
        <f t="shared" si="1"/>
        <v>100</v>
      </c>
      <c r="V15" s="3961" t="s">
        <v>13</v>
      </c>
      <c r="W15" s="3328">
        <f t="shared" si="2"/>
        <v>100</v>
      </c>
      <c r="X15" s="946"/>
      <c r="Y15" s="4421"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29"/>
      <c r="Q16" s="1544"/>
      <c r="R16" s="3961"/>
      <c r="S16" s="3328"/>
      <c r="T16" s="3961"/>
      <c r="U16" s="3328"/>
      <c r="V16" s="3961"/>
      <c r="W16" s="3328"/>
      <c r="X16" s="946"/>
      <c r="Y16" s="4422"/>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29"/>
      <c r="Q17" s="1544" t="str">
        <f>B17</f>
        <v>交通便捷度</v>
      </c>
      <c r="R17" s="3961" t="s">
        <v>13</v>
      </c>
      <c r="S17" s="3328">
        <f>F17</f>
        <v>100</v>
      </c>
      <c r="T17" s="3961" t="s">
        <v>13</v>
      </c>
      <c r="U17" s="3328">
        <f>H17</f>
        <v>100</v>
      </c>
      <c r="V17" s="3961" t="s">
        <v>13</v>
      </c>
      <c r="W17" s="3328">
        <f>J17</f>
        <v>100</v>
      </c>
      <c r="X17" s="946"/>
      <c r="Y17" s="4422"/>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29"/>
      <c r="Q18" s="1544"/>
      <c r="R18" s="3961"/>
      <c r="S18" s="3328"/>
      <c r="T18" s="3961"/>
      <c r="U18" s="3328"/>
      <c r="V18" s="3961"/>
      <c r="W18" s="3328"/>
      <c r="X18" s="946"/>
      <c r="Y18" s="4422"/>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29"/>
      <c r="Q19" s="1544" t="str">
        <f>B19</f>
        <v>公共配套设施</v>
      </c>
      <c r="R19" s="3961" t="s">
        <v>13</v>
      </c>
      <c r="S19" s="3328">
        <f>F19</f>
        <v>100</v>
      </c>
      <c r="T19" s="3961" t="s">
        <v>13</v>
      </c>
      <c r="U19" s="3328">
        <f>H19</f>
        <v>100</v>
      </c>
      <c r="V19" s="3961" t="s">
        <v>13</v>
      </c>
      <c r="W19" s="3328">
        <f>J19</f>
        <v>100</v>
      </c>
      <c r="X19" s="946"/>
      <c r="Y19" s="4422"/>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29"/>
      <c r="Q20" s="1544"/>
      <c r="R20" s="3961"/>
      <c r="S20" s="3328"/>
      <c r="T20" s="3961"/>
      <c r="U20" s="3328"/>
      <c r="V20" s="3961"/>
      <c r="W20" s="3328"/>
      <c r="X20" s="946"/>
      <c r="Y20" s="4422"/>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29"/>
      <c r="Q21" s="1544" t="str">
        <f>B21</f>
        <v>基础设施水平</v>
      </c>
      <c r="R21" s="3961" t="s">
        <v>13</v>
      </c>
      <c r="S21" s="3328">
        <f>F21</f>
        <v>100</v>
      </c>
      <c r="T21" s="3961" t="s">
        <v>13</v>
      </c>
      <c r="U21" s="3328">
        <f>H21</f>
        <v>100</v>
      </c>
      <c r="V21" s="3961" t="s">
        <v>13</v>
      </c>
      <c r="W21" s="3328">
        <f>J21</f>
        <v>100</v>
      </c>
      <c r="X21" s="946"/>
      <c r="Y21" s="4422"/>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29"/>
      <c r="Q22" s="1544"/>
      <c r="R22" s="3961"/>
      <c r="S22" s="3328"/>
      <c r="T22" s="3961"/>
      <c r="U22" s="3328"/>
      <c r="V22" s="3961"/>
      <c r="W22" s="3328"/>
      <c r="X22" s="946"/>
      <c r="Y22" s="4422"/>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29"/>
      <c r="Q23" s="1544" t="str">
        <f>B23</f>
        <v>环境质量</v>
      </c>
      <c r="R23" s="3961" t="s">
        <v>13</v>
      </c>
      <c r="S23" s="3328">
        <f>F23</f>
        <v>100</v>
      </c>
      <c r="T23" s="3961" t="s">
        <v>13</v>
      </c>
      <c r="U23" s="3328">
        <f>H23</f>
        <v>100</v>
      </c>
      <c r="V23" s="3961" t="s">
        <v>13</v>
      </c>
      <c r="W23" s="3328">
        <f>J23</f>
        <v>100</v>
      </c>
      <c r="X23" s="946"/>
      <c r="Y23" s="4422"/>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29"/>
      <c r="Q24" s="1544"/>
      <c r="R24" s="3961"/>
      <c r="S24" s="3328"/>
      <c r="T24" s="3961"/>
      <c r="U24" s="3328"/>
      <c r="V24" s="3961"/>
      <c r="W24" s="3328"/>
      <c r="X24" s="946"/>
      <c r="Y24" s="4422"/>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29"/>
      <c r="Q25" s="1544" t="str">
        <f>B25</f>
        <v>毗邻道路的类型与等级</v>
      </c>
      <c r="R25" s="3961" t="s">
        <v>13</v>
      </c>
      <c r="S25" s="3328">
        <f>F25</f>
        <v>100</v>
      </c>
      <c r="T25" s="3961" t="s">
        <v>13</v>
      </c>
      <c r="U25" s="3328">
        <f>H25</f>
        <v>100</v>
      </c>
      <c r="V25" s="3961" t="s">
        <v>13</v>
      </c>
      <c r="W25" s="3328">
        <f>J25</f>
        <v>100</v>
      </c>
      <c r="X25" s="946"/>
      <c r="Y25" s="4422"/>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29"/>
      <c r="Q26" s="1544"/>
      <c r="R26" s="3961"/>
      <c r="S26" s="3328"/>
      <c r="T26" s="3961"/>
      <c r="U26" s="3328"/>
      <c r="V26" s="3961"/>
      <c r="W26" s="3328"/>
      <c r="X26" s="946"/>
      <c r="Y26" s="4422"/>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29"/>
      <c r="Q27" s="1544" t="str">
        <f t="shared" ref="Q27:Q47" si="11">B27</f>
        <v>楼层</v>
      </c>
      <c r="R27" s="3961" t="s">
        <v>13</v>
      </c>
      <c r="S27" s="3328">
        <f>F27</f>
        <v>100</v>
      </c>
      <c r="T27" s="3961" t="s">
        <v>13</v>
      </c>
      <c r="U27" s="3328">
        <f>H27</f>
        <v>100</v>
      </c>
      <c r="V27" s="3961" t="s">
        <v>13</v>
      </c>
      <c r="W27" s="3328">
        <f>J27</f>
        <v>100</v>
      </c>
      <c r="X27" s="946"/>
      <c r="Y27" s="4422"/>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29"/>
      <c r="Q28" s="1742" t="str">
        <f t="shared" si="11"/>
        <v>朝向</v>
      </c>
      <c r="R28" s="3855" t="s">
        <v>13</v>
      </c>
      <c r="S28" s="3327">
        <f>F28</f>
        <v>100</v>
      </c>
      <c r="T28" s="3855" t="s">
        <v>13</v>
      </c>
      <c r="U28" s="3327">
        <f>H28</f>
        <v>100</v>
      </c>
      <c r="V28" s="3855" t="s">
        <v>13</v>
      </c>
      <c r="W28" s="3327">
        <f>J28</f>
        <v>100</v>
      </c>
      <c r="X28" s="493"/>
      <c r="Y28" s="4422"/>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29"/>
      <c r="Q29" s="1544">
        <f t="shared" si="11"/>
        <v>111</v>
      </c>
      <c r="R29" s="3961" t="s">
        <v>13</v>
      </c>
      <c r="S29" s="3328">
        <f t="shared" ref="S29:S47" si="12">F29</f>
        <v>100</v>
      </c>
      <c r="T29" s="3961" t="s">
        <v>13</v>
      </c>
      <c r="U29" s="3328">
        <f t="shared" ref="U29:U47" si="13">H29</f>
        <v>100</v>
      </c>
      <c r="V29" s="3961" t="s">
        <v>13</v>
      </c>
      <c r="W29" s="3328">
        <f t="shared" ref="W29:W47" si="14">J29</f>
        <v>100</v>
      </c>
      <c r="X29" s="946"/>
      <c r="Y29" s="4422"/>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29"/>
      <c r="Q30" s="1544">
        <f t="shared" si="11"/>
        <v>111</v>
      </c>
      <c r="R30" s="3961" t="s">
        <v>13</v>
      </c>
      <c r="S30" s="3328">
        <f t="shared" si="12"/>
        <v>100</v>
      </c>
      <c r="T30" s="3961" t="s">
        <v>13</v>
      </c>
      <c r="U30" s="3328">
        <f t="shared" si="13"/>
        <v>100</v>
      </c>
      <c r="V30" s="3961" t="s">
        <v>13</v>
      </c>
      <c r="W30" s="3328">
        <f t="shared" si="14"/>
        <v>100</v>
      </c>
      <c r="X30" s="946"/>
      <c r="Y30" s="4422"/>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29"/>
      <c r="Q31" s="1544">
        <f t="shared" si="11"/>
        <v>111</v>
      </c>
      <c r="R31" s="3961" t="s">
        <v>13</v>
      </c>
      <c r="S31" s="3328">
        <f t="shared" si="12"/>
        <v>100</v>
      </c>
      <c r="T31" s="3961" t="s">
        <v>13</v>
      </c>
      <c r="U31" s="3328">
        <f t="shared" si="13"/>
        <v>100</v>
      </c>
      <c r="V31" s="3961" t="s">
        <v>13</v>
      </c>
      <c r="W31" s="3328">
        <f t="shared" si="14"/>
        <v>100</v>
      </c>
      <c r="X31" s="946"/>
      <c r="Y31" s="4422"/>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29"/>
      <c r="Q32" s="1544">
        <f t="shared" si="11"/>
        <v>111</v>
      </c>
      <c r="R32" s="3961" t="s">
        <v>13</v>
      </c>
      <c r="S32" s="3328">
        <f t="shared" si="12"/>
        <v>100</v>
      </c>
      <c r="T32" s="3961" t="s">
        <v>13</v>
      </c>
      <c r="U32" s="3328">
        <f t="shared" si="13"/>
        <v>100</v>
      </c>
      <c r="V32" s="3961" t="s">
        <v>13</v>
      </c>
      <c r="W32" s="3328">
        <f t="shared" si="14"/>
        <v>100</v>
      </c>
      <c r="X32" s="946"/>
      <c r="Y32" s="4422"/>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23" t="s">
        <v>1613</v>
      </c>
      <c r="Q33" s="1544" t="str">
        <f t="shared" si="11"/>
        <v>建筑类型</v>
      </c>
      <c r="R33" s="3961" t="s">
        <v>13</v>
      </c>
      <c r="S33" s="3328">
        <f t="shared" si="12"/>
        <v>100</v>
      </c>
      <c r="T33" s="3961" t="s">
        <v>13</v>
      </c>
      <c r="U33" s="3328">
        <f t="shared" si="13"/>
        <v>100</v>
      </c>
      <c r="V33" s="3961" t="s">
        <v>13</v>
      </c>
      <c r="W33" s="3328">
        <f t="shared" si="14"/>
        <v>100</v>
      </c>
      <c r="X33" s="946"/>
      <c r="Y33" s="4426"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24"/>
      <c r="Q34" s="392" t="str">
        <f t="shared" si="11"/>
        <v>项目建筑规模</v>
      </c>
      <c r="R34" s="3962" t="s">
        <v>13</v>
      </c>
      <c r="S34" s="3329" t="e">
        <f t="shared" si="12"/>
        <v>#N/A</v>
      </c>
      <c r="T34" s="3962" t="s">
        <v>13</v>
      </c>
      <c r="U34" s="3329" t="e">
        <f t="shared" si="13"/>
        <v>#N/A</v>
      </c>
      <c r="V34" s="3962" t="s">
        <v>13</v>
      </c>
      <c r="W34" s="3329" t="e">
        <f t="shared" si="14"/>
        <v>#N/A</v>
      </c>
      <c r="X34" s="494"/>
      <c r="Y34" s="4426"/>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24"/>
      <c r="Q35" s="1544" t="str">
        <f t="shared" si="11"/>
        <v>建筑结构</v>
      </c>
      <c r="R35" s="3961" t="s">
        <v>13</v>
      </c>
      <c r="S35" s="3328">
        <f t="shared" si="12"/>
        <v>100</v>
      </c>
      <c r="T35" s="3961" t="s">
        <v>13</v>
      </c>
      <c r="U35" s="3328">
        <f t="shared" si="13"/>
        <v>100</v>
      </c>
      <c r="V35" s="3961" t="s">
        <v>13</v>
      </c>
      <c r="W35" s="3328">
        <f t="shared" si="14"/>
        <v>100</v>
      </c>
      <c r="X35" s="946"/>
      <c r="Y35" s="4426"/>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24"/>
      <c r="Q36" s="1544" t="str">
        <f t="shared" si="11"/>
        <v>公共部分装修</v>
      </c>
      <c r="R36" s="3961" t="s">
        <v>13</v>
      </c>
      <c r="S36" s="3328">
        <f t="shared" si="12"/>
        <v>100</v>
      </c>
      <c r="T36" s="3961" t="s">
        <v>13</v>
      </c>
      <c r="U36" s="3328">
        <f t="shared" si="13"/>
        <v>100</v>
      </c>
      <c r="V36" s="3961" t="s">
        <v>13</v>
      </c>
      <c r="W36" s="3328">
        <f t="shared" si="14"/>
        <v>100</v>
      </c>
      <c r="X36" s="946"/>
      <c r="Y36" s="4426"/>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24"/>
      <c r="Q37" s="1544" t="str">
        <f t="shared" si="11"/>
        <v>成新度</v>
      </c>
      <c r="R37" s="3961" t="s">
        <v>13</v>
      </c>
      <c r="S37" s="3328" t="e">
        <f t="shared" si="12"/>
        <v>#N/A</v>
      </c>
      <c r="T37" s="3961" t="s">
        <v>13</v>
      </c>
      <c r="U37" s="3328" t="e">
        <f t="shared" si="13"/>
        <v>#N/A</v>
      </c>
      <c r="V37" s="3961" t="s">
        <v>13</v>
      </c>
      <c r="W37" s="3328" t="e">
        <f t="shared" si="14"/>
        <v>#N/A</v>
      </c>
      <c r="X37" s="946"/>
      <c r="Y37" s="4426"/>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24"/>
      <c r="Q38" s="1742" t="str">
        <f t="shared" si="11"/>
        <v>写字楼等级</v>
      </c>
      <c r="R38" s="3855" t="s">
        <v>13</v>
      </c>
      <c r="S38" s="3327">
        <f t="shared" si="12"/>
        <v>100</v>
      </c>
      <c r="T38" s="3855" t="s">
        <v>13</v>
      </c>
      <c r="U38" s="3327">
        <f t="shared" si="13"/>
        <v>100</v>
      </c>
      <c r="V38" s="3855" t="s">
        <v>13</v>
      </c>
      <c r="W38" s="3327">
        <f t="shared" si="14"/>
        <v>100</v>
      </c>
      <c r="X38" s="493"/>
      <c r="Y38" s="4426"/>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24" t="s">
        <v>1613</v>
      </c>
      <c r="Q39" s="1544" t="str">
        <f t="shared" si="11"/>
        <v>物业管理</v>
      </c>
      <c r="R39" s="3961" t="s">
        <v>13</v>
      </c>
      <c r="S39" s="3328">
        <f t="shared" si="12"/>
        <v>100</v>
      </c>
      <c r="T39" s="3961" t="s">
        <v>13</v>
      </c>
      <c r="U39" s="3328">
        <f t="shared" si="13"/>
        <v>100</v>
      </c>
      <c r="V39" s="3961" t="s">
        <v>13</v>
      </c>
      <c r="W39" s="3328">
        <f t="shared" si="14"/>
        <v>100</v>
      </c>
      <c r="X39" s="946"/>
      <c r="Y39" s="4426"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24"/>
      <c r="Q40" s="1544" t="str">
        <f t="shared" si="11"/>
        <v>市政基础设施</v>
      </c>
      <c r="R40" s="3961" t="s">
        <v>13</v>
      </c>
      <c r="S40" s="3328">
        <f t="shared" si="12"/>
        <v>100</v>
      </c>
      <c r="T40" s="3961" t="s">
        <v>13</v>
      </c>
      <c r="U40" s="3328">
        <f t="shared" si="13"/>
        <v>100</v>
      </c>
      <c r="V40" s="3961" t="s">
        <v>13</v>
      </c>
      <c r="W40" s="3328">
        <f t="shared" si="14"/>
        <v>100</v>
      </c>
      <c r="X40" s="946"/>
      <c r="Y40" s="4426"/>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24"/>
      <c r="Q41" s="1544" t="str">
        <f t="shared" si="11"/>
        <v>层高</v>
      </c>
      <c r="R41" s="3961" t="s">
        <v>13</v>
      </c>
      <c r="S41" s="3328">
        <f t="shared" si="12"/>
        <v>100</v>
      </c>
      <c r="T41" s="3961" t="s">
        <v>13</v>
      </c>
      <c r="U41" s="3328">
        <f t="shared" si="13"/>
        <v>100</v>
      </c>
      <c r="V41" s="3961" t="s">
        <v>13</v>
      </c>
      <c r="W41" s="3328">
        <f t="shared" si="14"/>
        <v>100</v>
      </c>
      <c r="X41" s="946"/>
      <c r="Y41" s="4426"/>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24"/>
      <c r="Q42" s="392" t="str">
        <f t="shared" si="11"/>
        <v>单套建筑面积</v>
      </c>
      <c r="R42" s="3962" t="s">
        <v>13</v>
      </c>
      <c r="S42" s="3329">
        <f t="shared" si="12"/>
        <v>100</v>
      </c>
      <c r="T42" s="3962" t="s">
        <v>13</v>
      </c>
      <c r="U42" s="3329">
        <f t="shared" si="13"/>
        <v>100</v>
      </c>
      <c r="V42" s="3962" t="s">
        <v>13</v>
      </c>
      <c r="W42" s="3329">
        <f t="shared" si="14"/>
        <v>100</v>
      </c>
      <c r="X42" s="494"/>
      <c r="Y42" s="4426"/>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24"/>
      <c r="Q43" s="1544" t="str">
        <f t="shared" si="11"/>
        <v>内部装修</v>
      </c>
      <c r="R43" s="3961" t="s">
        <v>13</v>
      </c>
      <c r="S43" s="3328">
        <f t="shared" si="12"/>
        <v>100</v>
      </c>
      <c r="T43" s="3961" t="s">
        <v>13</v>
      </c>
      <c r="U43" s="3328">
        <f t="shared" si="13"/>
        <v>100</v>
      </c>
      <c r="V43" s="3961" t="s">
        <v>13</v>
      </c>
      <c r="W43" s="3328">
        <f t="shared" si="14"/>
        <v>100</v>
      </c>
      <c r="X43" s="946"/>
      <c r="Y43" s="4426"/>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24"/>
      <c r="Q44" s="1544" t="str">
        <f t="shared" si="11"/>
        <v>内部装修维护情况</v>
      </c>
      <c r="R44" s="3961" t="s">
        <v>13</v>
      </c>
      <c r="S44" s="3328">
        <f t="shared" si="12"/>
        <v>100</v>
      </c>
      <c r="T44" s="3961" t="s">
        <v>13</v>
      </c>
      <c r="U44" s="3328">
        <f t="shared" si="13"/>
        <v>100</v>
      </c>
      <c r="V44" s="3961" t="s">
        <v>13</v>
      </c>
      <c r="W44" s="3328">
        <f t="shared" si="14"/>
        <v>100</v>
      </c>
      <c r="X44" s="946"/>
      <c r="Y44" s="4426"/>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24"/>
      <c r="Q45" s="1742">
        <f t="shared" si="11"/>
        <v>111</v>
      </c>
      <c r="R45" s="3855" t="s">
        <v>13</v>
      </c>
      <c r="S45" s="3327">
        <f t="shared" si="12"/>
        <v>100</v>
      </c>
      <c r="T45" s="3855" t="s">
        <v>13</v>
      </c>
      <c r="U45" s="3327">
        <f t="shared" si="13"/>
        <v>100</v>
      </c>
      <c r="V45" s="3855" t="s">
        <v>13</v>
      </c>
      <c r="W45" s="3327">
        <f t="shared" si="14"/>
        <v>100</v>
      </c>
      <c r="X45" s="493"/>
      <c r="Y45" s="4426"/>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24"/>
      <c r="Q46" s="1544">
        <f t="shared" si="11"/>
        <v>111</v>
      </c>
      <c r="R46" s="3961" t="s">
        <v>13</v>
      </c>
      <c r="S46" s="3328">
        <f t="shared" si="12"/>
        <v>100</v>
      </c>
      <c r="T46" s="3961" t="s">
        <v>13</v>
      </c>
      <c r="U46" s="3328">
        <f t="shared" si="13"/>
        <v>100</v>
      </c>
      <c r="V46" s="3961" t="s">
        <v>13</v>
      </c>
      <c r="W46" s="3328">
        <f t="shared" si="14"/>
        <v>100</v>
      </c>
      <c r="X46" s="946"/>
      <c r="Y46" s="4426"/>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25"/>
      <c r="Q47" s="1544">
        <f t="shared" si="11"/>
        <v>111</v>
      </c>
      <c r="R47" s="3961" t="s">
        <v>13</v>
      </c>
      <c r="S47" s="3328">
        <f t="shared" si="12"/>
        <v>100</v>
      </c>
      <c r="T47" s="3961" t="s">
        <v>13</v>
      </c>
      <c r="U47" s="3328">
        <f t="shared" si="13"/>
        <v>100</v>
      </c>
      <c r="V47" s="3961" t="s">
        <v>13</v>
      </c>
      <c r="W47" s="3328">
        <f t="shared" si="14"/>
        <v>100</v>
      </c>
      <c r="X47" s="946"/>
      <c r="Y47" s="4427"/>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392" t="str">
        <f>A48</f>
        <v>成交单价（元/平方米）</v>
      </c>
      <c r="Q48" s="4419"/>
      <c r="R48" s="4420">
        <f>E48</f>
        <v>0</v>
      </c>
      <c r="S48" s="4420"/>
      <c r="T48" s="4420">
        <f>G48</f>
        <v>0</v>
      </c>
      <c r="U48" s="4420"/>
      <c r="V48" s="4420">
        <f>I48</f>
        <v>0</v>
      </c>
      <c r="W48" s="4420"/>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392" t="str">
        <f>A49</f>
        <v>比较价值（元/平方米）</v>
      </c>
      <c r="Q49" s="4419"/>
      <c r="R49" s="4420" t="e">
        <f>IF(F1="售价",ROUND(PRODUCT(R48,AA7:AA47),0),ROUND(PRODUCT(R48,AA7:AA47),1))</f>
        <v>#DIV/0!</v>
      </c>
      <c r="S49" s="4420"/>
      <c r="T49" s="4420" t="e">
        <f>IF(F1="售价",ROUND(PRODUCT(T48,AB7:AB47),0),ROUND(PRODUCT(T48,AB7:AB47),1))</f>
        <v>#DIV/0!</v>
      </c>
      <c r="U49" s="4420"/>
      <c r="V49" s="4420" t="e">
        <f>IF(F1="售价",ROUND(PRODUCT(V48,AC7:AC47),0),ROUND(PRODUCT(V48,AC7:AC47),1))</f>
        <v>#DIV/0!</v>
      </c>
      <c r="W49" s="4420"/>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489" t="str">
        <f>A50</f>
        <v>估价对象XX用房的比较价值（楼面单价，元/平方米）</v>
      </c>
      <c r="Q50" s="4490"/>
      <c r="R50" s="4491" t="e">
        <f>IF(F1="售价",ROUND(IF(D49="简单平均",AVERAGE(R49:V49),R49*F49+T49*H49+V49*J49),0),ROUND(IF(D49="简单平均",AVERAGE(R49:V49),R49*F49+T49*H49+V49*J49),1))</f>
        <v>#DIV/0!</v>
      </c>
      <c r="S50" s="4491"/>
      <c r="T50" s="4491"/>
      <c r="U50" s="4491"/>
      <c r="V50" s="4491"/>
      <c r="W50" s="4491"/>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2026-3</v>
      </c>
      <c r="D59" s="815">
        <f>EDATE(C59,-1)</f>
        <v>46054</v>
      </c>
      <c r="E59" s="815">
        <f>EDATE(D59,-1)</f>
        <v>46023</v>
      </c>
      <c r="F59" s="815">
        <f t="shared" ref="F59:O59" si="16">EDATE(E59,-1)</f>
        <v>45992</v>
      </c>
      <c r="G59" s="815">
        <f t="shared" si="16"/>
        <v>45962</v>
      </c>
      <c r="H59" s="815">
        <f t="shared" si="16"/>
        <v>45931</v>
      </c>
      <c r="I59" s="815">
        <f t="shared" si="16"/>
        <v>45901</v>
      </c>
      <c r="J59" s="815">
        <f t="shared" si="16"/>
        <v>45870</v>
      </c>
      <c r="K59" s="815">
        <f t="shared" si="16"/>
        <v>45839</v>
      </c>
      <c r="L59" s="815">
        <f t="shared" si="16"/>
        <v>45809</v>
      </c>
      <c r="M59" s="815">
        <f t="shared" si="16"/>
        <v>45778</v>
      </c>
      <c r="N59" s="815">
        <f t="shared" si="16"/>
        <v>45748</v>
      </c>
      <c r="O59" s="815">
        <f t="shared" si="16"/>
        <v>45717</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87.55</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77" t="s">
        <v>1687</v>
      </c>
      <c r="D4" s="4478"/>
      <c r="E4" s="4479" t="s">
        <v>1688</v>
      </c>
      <c r="F4" s="4480"/>
      <c r="G4" s="4477" t="s">
        <v>1689</v>
      </c>
      <c r="H4" s="4478"/>
      <c r="I4" s="4477" t="s">
        <v>1690</v>
      </c>
      <c r="J4" s="4478"/>
      <c r="K4" s="397" t="s">
        <v>1691</v>
      </c>
      <c r="L4" s="620"/>
      <c r="M4" s="621"/>
      <c r="N4" s="621"/>
      <c r="O4" s="621"/>
      <c r="P4" s="4398" t="s">
        <v>1692</v>
      </c>
      <c r="Q4" s="4399"/>
      <c r="R4" s="4379" t="s">
        <v>1688</v>
      </c>
      <c r="S4" s="4380"/>
      <c r="T4" s="4379" t="s">
        <v>1689</v>
      </c>
      <c r="U4" s="4380"/>
      <c r="V4" s="4406" t="s">
        <v>1690</v>
      </c>
      <c r="W4" s="4406"/>
      <c r="X4" s="946"/>
      <c r="Y4" s="4409" t="s">
        <v>1692</v>
      </c>
      <c r="Z4" s="4410"/>
      <c r="AA4" s="4374" t="s">
        <v>1688</v>
      </c>
      <c r="AB4" s="4375" t="s">
        <v>1689</v>
      </c>
      <c r="AC4" s="4374" t="s">
        <v>1690</v>
      </c>
    </row>
    <row r="5" spans="1:29">
      <c r="A5" s="239"/>
      <c r="B5" s="240"/>
      <c r="C5" s="4468" t="s">
        <v>1590</v>
      </c>
      <c r="D5" s="4469"/>
      <c r="E5" s="4466" t="s">
        <v>1591</v>
      </c>
      <c r="F5" s="4467"/>
      <c r="G5" s="4468" t="s">
        <v>1592</v>
      </c>
      <c r="H5" s="4469"/>
      <c r="I5" s="4468" t="s">
        <v>1593</v>
      </c>
      <c r="J5" s="4469"/>
      <c r="K5" s="397"/>
      <c r="L5" s="620"/>
      <c r="M5" s="621"/>
      <c r="N5" s="621"/>
      <c r="O5" s="621"/>
      <c r="P5" s="4400"/>
      <c r="Q5" s="4401"/>
      <c r="R5" s="4381"/>
      <c r="S5" s="4382"/>
      <c r="T5" s="4381"/>
      <c r="U5" s="4382"/>
      <c r="V5" s="4406"/>
      <c r="W5" s="4406"/>
      <c r="X5" s="946"/>
      <c r="Y5" s="4411"/>
      <c r="Z5" s="4412"/>
      <c r="AA5" s="4375"/>
      <c r="AB5" s="4375"/>
      <c r="AC5" s="4375"/>
    </row>
    <row r="6" spans="1:29" ht="15" thickBot="1">
      <c r="A6" s="241"/>
      <c r="B6" s="242"/>
      <c r="C6" s="4470" t="s">
        <v>1594</v>
      </c>
      <c r="D6" s="4471"/>
      <c r="E6" s="4472" t="s">
        <v>1594</v>
      </c>
      <c r="F6" s="4473"/>
      <c r="G6" s="4470" t="s">
        <v>1594</v>
      </c>
      <c r="H6" s="4471"/>
      <c r="I6" s="4470" t="s">
        <v>1594</v>
      </c>
      <c r="J6" s="4471"/>
      <c r="K6" s="397" t="s">
        <v>1595</v>
      </c>
      <c r="L6" s="620"/>
      <c r="M6" s="621"/>
      <c r="N6" s="621"/>
      <c r="O6" s="621"/>
      <c r="P6" s="4402"/>
      <c r="Q6" s="4403"/>
      <c r="R6" s="4381"/>
      <c r="S6" s="4382"/>
      <c r="T6" s="4404"/>
      <c r="U6" s="4405"/>
      <c r="V6" s="4406"/>
      <c r="W6" s="4406"/>
      <c r="X6" s="946"/>
      <c r="Y6" s="4413"/>
      <c r="Z6" s="4414"/>
      <c r="AA6" s="4376"/>
      <c r="AB6" s="4376"/>
      <c r="AC6" s="4376"/>
    </row>
    <row r="7" spans="1:29" s="46" customFormat="1" ht="15" thickBot="1">
      <c r="A7" s="243" t="s">
        <v>1596</v>
      </c>
      <c r="B7" s="244"/>
      <c r="C7" s="245">
        <f>'数据-取费表'!B2</f>
        <v>46100</v>
      </c>
      <c r="D7" s="3022">
        <v>100</v>
      </c>
      <c r="E7" s="246"/>
      <c r="F7" s="3973">
        <f>SUMIF(52:52,YEAR(E7)&amp;"-"&amp;MONTH(E7),53:53)</f>
        <v>0</v>
      </c>
      <c r="G7" s="246"/>
      <c r="H7" s="3979">
        <f>SUMIF(52:52,YEAR(G7)&amp;"-"&amp;MONTH(G7),53:53)</f>
        <v>0</v>
      </c>
      <c r="I7" s="246"/>
      <c r="J7" s="3979">
        <f>SUMIF(52:52,YEAR(I7)&amp;"-"&amp;MONTH(I7),53:53)</f>
        <v>0</v>
      </c>
      <c r="K7" s="22"/>
      <c r="L7" s="622"/>
      <c r="M7" s="623"/>
      <c r="N7" s="623"/>
      <c r="O7" s="623"/>
      <c r="P7" s="4407" t="s">
        <v>1597</v>
      </c>
      <c r="Q7" s="4415"/>
      <c r="R7" s="3985" t="s">
        <v>13</v>
      </c>
      <c r="S7" s="3755">
        <f t="shared" ref="S7:S15" si="0">F7</f>
        <v>0</v>
      </c>
      <c r="T7" s="3985" t="s">
        <v>13</v>
      </c>
      <c r="U7" s="3755">
        <f t="shared" ref="U7:U15" si="1">H7</f>
        <v>0</v>
      </c>
      <c r="V7" s="3985" t="s">
        <v>13</v>
      </c>
      <c r="W7" s="3755">
        <f t="shared" ref="W7:W15" si="2">J7</f>
        <v>0</v>
      </c>
      <c r="X7" s="493"/>
      <c r="Y7" s="4377" t="s">
        <v>1597</v>
      </c>
      <c r="Z7" s="4378"/>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07" t="s">
        <v>1600</v>
      </c>
      <c r="Q8" s="4408"/>
      <c r="R8" s="3985" t="s">
        <v>13</v>
      </c>
      <c r="S8" s="3755">
        <f t="shared" si="0"/>
        <v>100</v>
      </c>
      <c r="T8" s="3985" t="s">
        <v>13</v>
      </c>
      <c r="U8" s="3755">
        <f t="shared" si="1"/>
        <v>100</v>
      </c>
      <c r="V8" s="3985" t="s">
        <v>13</v>
      </c>
      <c r="W8" s="3755">
        <f t="shared" si="2"/>
        <v>100</v>
      </c>
      <c r="X8" s="493"/>
      <c r="Y8" s="4377" t="s">
        <v>1600</v>
      </c>
      <c r="Z8" s="4378"/>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19" t="s">
        <v>1603</v>
      </c>
      <c r="Q9" s="1742" t="str">
        <f t="shared" ref="Q9:Q15" si="6">B9</f>
        <v>用途</v>
      </c>
      <c r="R9" s="3985" t="s">
        <v>13</v>
      </c>
      <c r="S9" s="3755">
        <f t="shared" si="0"/>
        <v>100</v>
      </c>
      <c r="T9" s="3985" t="s">
        <v>13</v>
      </c>
      <c r="U9" s="3755">
        <f t="shared" si="1"/>
        <v>100</v>
      </c>
      <c r="V9" s="3985" t="s">
        <v>13</v>
      </c>
      <c r="W9" s="3755">
        <f t="shared" si="2"/>
        <v>100</v>
      </c>
      <c r="X9" s="493"/>
      <c r="Y9" s="4393"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19"/>
      <c r="Q10" s="1742" t="str">
        <f t="shared" si="6"/>
        <v>土地使用年限（年）</v>
      </c>
      <c r="R10" s="3985" t="s">
        <v>13</v>
      </c>
      <c r="S10" s="3755">
        <f t="shared" si="0"/>
        <v>100</v>
      </c>
      <c r="T10" s="3985" t="s">
        <v>13</v>
      </c>
      <c r="U10" s="3755">
        <f t="shared" si="1"/>
        <v>100</v>
      </c>
      <c r="V10" s="3985" t="s">
        <v>13</v>
      </c>
      <c r="W10" s="3755">
        <f t="shared" si="2"/>
        <v>100</v>
      </c>
      <c r="X10" s="493"/>
      <c r="Y10" s="4393"/>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19"/>
      <c r="Q11" s="1742" t="str">
        <f t="shared" si="6"/>
        <v>容积率</v>
      </c>
      <c r="R11" s="3985" t="s">
        <v>13</v>
      </c>
      <c r="S11" s="3755">
        <f t="shared" si="0"/>
        <v>100</v>
      </c>
      <c r="T11" s="3985" t="s">
        <v>13</v>
      </c>
      <c r="U11" s="3755">
        <f t="shared" si="1"/>
        <v>100</v>
      </c>
      <c r="V11" s="3985" t="s">
        <v>13</v>
      </c>
      <c r="W11" s="3755">
        <f t="shared" si="2"/>
        <v>100</v>
      </c>
      <c r="X11" s="493"/>
      <c r="Y11" s="4393"/>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19"/>
      <c r="Q12" s="1742">
        <f t="shared" si="6"/>
        <v>111</v>
      </c>
      <c r="R12" s="3985" t="s">
        <v>13</v>
      </c>
      <c r="S12" s="3755">
        <f t="shared" si="0"/>
        <v>100</v>
      </c>
      <c r="T12" s="3985" t="s">
        <v>13</v>
      </c>
      <c r="U12" s="3755">
        <f t="shared" si="1"/>
        <v>100</v>
      </c>
      <c r="V12" s="3985" t="s">
        <v>13</v>
      </c>
      <c r="W12" s="3755">
        <f t="shared" si="2"/>
        <v>100</v>
      </c>
      <c r="X12" s="493"/>
      <c r="Y12" s="4393"/>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419"/>
      <c r="Q13" s="1742">
        <f t="shared" si="6"/>
        <v>111</v>
      </c>
      <c r="R13" s="3985" t="s">
        <v>13</v>
      </c>
      <c r="S13" s="3755">
        <f t="shared" si="0"/>
        <v>100</v>
      </c>
      <c r="T13" s="3985" t="s">
        <v>13</v>
      </c>
      <c r="U13" s="3755">
        <f t="shared" si="1"/>
        <v>100</v>
      </c>
      <c r="V13" s="3985" t="s">
        <v>13</v>
      </c>
      <c r="W13" s="3755">
        <f t="shared" si="2"/>
        <v>100</v>
      </c>
      <c r="X13" s="493"/>
      <c r="Y13" s="4393"/>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419"/>
      <c r="Q14" s="1742">
        <f t="shared" si="6"/>
        <v>111</v>
      </c>
      <c r="R14" s="3985" t="s">
        <v>13</v>
      </c>
      <c r="S14" s="3755">
        <f t="shared" si="0"/>
        <v>100</v>
      </c>
      <c r="T14" s="3985" t="s">
        <v>13</v>
      </c>
      <c r="U14" s="3755">
        <f t="shared" si="1"/>
        <v>100</v>
      </c>
      <c r="V14" s="3985" t="s">
        <v>13</v>
      </c>
      <c r="W14" s="3755">
        <f t="shared" si="2"/>
        <v>100</v>
      </c>
      <c r="X14" s="493"/>
      <c r="Y14" s="4393"/>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492" t="s">
        <v>1608</v>
      </c>
      <c r="Q15" s="1544" t="str">
        <f t="shared" si="6"/>
        <v>产业集聚程度</v>
      </c>
      <c r="R15" s="3986" t="s">
        <v>13</v>
      </c>
      <c r="S15" s="3988">
        <f t="shared" si="0"/>
        <v>100</v>
      </c>
      <c r="T15" s="3986" t="s">
        <v>13</v>
      </c>
      <c r="U15" s="3988">
        <f t="shared" si="1"/>
        <v>100</v>
      </c>
      <c r="V15" s="3986" t="s">
        <v>13</v>
      </c>
      <c r="W15" s="3988">
        <f t="shared" si="2"/>
        <v>100</v>
      </c>
      <c r="X15" s="946"/>
      <c r="Y15" s="4421"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493"/>
      <c r="Q16" s="1544"/>
      <c r="R16" s="3986"/>
      <c r="S16" s="3988"/>
      <c r="T16" s="3986"/>
      <c r="U16" s="3988"/>
      <c r="V16" s="3986"/>
      <c r="W16" s="3988"/>
      <c r="X16" s="946"/>
      <c r="Y16" s="4422"/>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493"/>
      <c r="Q17" s="1544" t="str">
        <f>B17</f>
        <v>交通便捷度</v>
      </c>
      <c r="R17" s="3986" t="s">
        <v>13</v>
      </c>
      <c r="S17" s="3988">
        <f>F17</f>
        <v>100</v>
      </c>
      <c r="T17" s="3986" t="s">
        <v>13</v>
      </c>
      <c r="U17" s="3988">
        <f>H17</f>
        <v>100</v>
      </c>
      <c r="V17" s="3986" t="s">
        <v>13</v>
      </c>
      <c r="W17" s="3988">
        <f>J17</f>
        <v>100</v>
      </c>
      <c r="X17" s="946"/>
      <c r="Y17" s="4422"/>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493"/>
      <c r="Q18" s="1544"/>
      <c r="R18" s="3986"/>
      <c r="S18" s="3988"/>
      <c r="T18" s="3986"/>
      <c r="U18" s="3988"/>
      <c r="V18" s="3986"/>
      <c r="W18" s="3988"/>
      <c r="X18" s="946"/>
      <c r="Y18" s="4422"/>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493"/>
      <c r="Q19" s="1544" t="str">
        <f>B19</f>
        <v>公共配套设施</v>
      </c>
      <c r="R19" s="3986" t="s">
        <v>13</v>
      </c>
      <c r="S19" s="3988">
        <f>F19</f>
        <v>100</v>
      </c>
      <c r="T19" s="3986" t="s">
        <v>13</v>
      </c>
      <c r="U19" s="3988">
        <f>H19</f>
        <v>100</v>
      </c>
      <c r="V19" s="3986" t="s">
        <v>13</v>
      </c>
      <c r="W19" s="3988">
        <f>J19</f>
        <v>100</v>
      </c>
      <c r="X19" s="946"/>
      <c r="Y19" s="4422"/>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493"/>
      <c r="Q20" s="1544"/>
      <c r="R20" s="3986"/>
      <c r="S20" s="3988"/>
      <c r="T20" s="3986"/>
      <c r="U20" s="3988"/>
      <c r="V20" s="3986"/>
      <c r="W20" s="3988"/>
      <c r="X20" s="946"/>
      <c r="Y20" s="4422"/>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493"/>
      <c r="Q21" s="1544" t="str">
        <f>B21</f>
        <v>基础设施水平</v>
      </c>
      <c r="R21" s="3986" t="s">
        <v>13</v>
      </c>
      <c r="S21" s="3988">
        <f>F21</f>
        <v>100</v>
      </c>
      <c r="T21" s="3986" t="s">
        <v>13</v>
      </c>
      <c r="U21" s="3988">
        <f>H21</f>
        <v>100</v>
      </c>
      <c r="V21" s="3986" t="s">
        <v>13</v>
      </c>
      <c r="W21" s="3988">
        <f>J21</f>
        <v>100</v>
      </c>
      <c r="X21" s="946"/>
      <c r="Y21" s="4422"/>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493"/>
      <c r="Q22" s="1544"/>
      <c r="R22" s="3986"/>
      <c r="S22" s="3988"/>
      <c r="T22" s="3986"/>
      <c r="U22" s="3988"/>
      <c r="V22" s="3986"/>
      <c r="W22" s="3988"/>
      <c r="X22" s="946"/>
      <c r="Y22" s="4422"/>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493"/>
      <c r="Q23" s="1544" t="str">
        <f>B23</f>
        <v>环境质量</v>
      </c>
      <c r="R23" s="3986" t="s">
        <v>13</v>
      </c>
      <c r="S23" s="3988">
        <f>F23</f>
        <v>100</v>
      </c>
      <c r="T23" s="3986" t="s">
        <v>13</v>
      </c>
      <c r="U23" s="3988">
        <f>H23</f>
        <v>100</v>
      </c>
      <c r="V23" s="3986" t="s">
        <v>13</v>
      </c>
      <c r="W23" s="3988">
        <f>J23</f>
        <v>100</v>
      </c>
      <c r="X23" s="946"/>
      <c r="Y23" s="4422"/>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493"/>
      <c r="Q24" s="1544"/>
      <c r="R24" s="3986"/>
      <c r="S24" s="3988"/>
      <c r="T24" s="3986"/>
      <c r="U24" s="3988"/>
      <c r="V24" s="3986"/>
      <c r="W24" s="3988"/>
      <c r="X24" s="946"/>
      <c r="Y24" s="4422"/>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493"/>
      <c r="Q25" s="1544">
        <f>B25</f>
        <v>111</v>
      </c>
      <c r="R25" s="3986" t="s">
        <v>13</v>
      </c>
      <c r="S25" s="3988">
        <f>F25</f>
        <v>100</v>
      </c>
      <c r="T25" s="3986" t="s">
        <v>13</v>
      </c>
      <c r="U25" s="3988">
        <f>H25</f>
        <v>100</v>
      </c>
      <c r="V25" s="3986" t="s">
        <v>13</v>
      </c>
      <c r="W25" s="3988">
        <f>J25</f>
        <v>100</v>
      </c>
      <c r="X25" s="946"/>
      <c r="Y25" s="4422"/>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493"/>
      <c r="Q26" s="1544">
        <f t="shared" ref="Q26:Q40" si="11">B26</f>
        <v>111</v>
      </c>
      <c r="R26" s="3986" t="s">
        <v>13</v>
      </c>
      <c r="S26" s="3988">
        <f>F26</f>
        <v>100</v>
      </c>
      <c r="T26" s="3986" t="s">
        <v>13</v>
      </c>
      <c r="U26" s="3988">
        <f>H26</f>
        <v>100</v>
      </c>
      <c r="V26" s="3986" t="s">
        <v>13</v>
      </c>
      <c r="W26" s="3988">
        <f>J26</f>
        <v>100</v>
      </c>
      <c r="X26" s="946"/>
      <c r="Y26" s="4422"/>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3"/>
      <c r="Q27" s="1742">
        <f t="shared" si="11"/>
        <v>111</v>
      </c>
      <c r="R27" s="3985" t="s">
        <v>13</v>
      </c>
      <c r="S27" s="3755">
        <f>F27</f>
        <v>100</v>
      </c>
      <c r="T27" s="3985" t="s">
        <v>13</v>
      </c>
      <c r="U27" s="3755">
        <f>H27</f>
        <v>100</v>
      </c>
      <c r="V27" s="3985" t="s">
        <v>13</v>
      </c>
      <c r="W27" s="3755">
        <f>J27</f>
        <v>100</v>
      </c>
      <c r="X27" s="493"/>
      <c r="Y27" s="4422"/>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493"/>
      <c r="Q28" s="1544">
        <f t="shared" si="11"/>
        <v>111</v>
      </c>
      <c r="R28" s="3986" t="s">
        <v>13</v>
      </c>
      <c r="S28" s="3988">
        <f t="shared" ref="S28:S40" si="12">F28</f>
        <v>100</v>
      </c>
      <c r="T28" s="3986" t="s">
        <v>13</v>
      </c>
      <c r="U28" s="3988">
        <f t="shared" ref="U28:U40" si="13">H28</f>
        <v>100</v>
      </c>
      <c r="V28" s="3986" t="s">
        <v>13</v>
      </c>
      <c r="W28" s="3988">
        <f t="shared" ref="W28:W40" si="14">J28</f>
        <v>100</v>
      </c>
      <c r="X28" s="946"/>
      <c r="Y28" s="4422"/>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494" t="s">
        <v>1613</v>
      </c>
      <c r="Q29" s="1544" t="str">
        <f t="shared" si="11"/>
        <v>建筑类型</v>
      </c>
      <c r="R29" s="3986" t="s">
        <v>13</v>
      </c>
      <c r="S29" s="3988">
        <f t="shared" si="12"/>
        <v>100</v>
      </c>
      <c r="T29" s="3986" t="s">
        <v>13</v>
      </c>
      <c r="U29" s="3988">
        <f t="shared" si="13"/>
        <v>100</v>
      </c>
      <c r="V29" s="3986" t="s">
        <v>13</v>
      </c>
      <c r="W29" s="3988">
        <f t="shared" si="14"/>
        <v>100</v>
      </c>
      <c r="X29" s="946"/>
      <c r="Y29" s="4426"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5"/>
      <c r="Q30" s="392" t="str">
        <f t="shared" si="11"/>
        <v>项目建筑规模</v>
      </c>
      <c r="R30" s="3987" t="s">
        <v>13</v>
      </c>
      <c r="S30" s="3989" t="e">
        <f t="shared" si="12"/>
        <v>#N/A</v>
      </c>
      <c r="T30" s="3987" t="s">
        <v>13</v>
      </c>
      <c r="U30" s="3989" t="e">
        <f t="shared" si="13"/>
        <v>#N/A</v>
      </c>
      <c r="V30" s="3987" t="s">
        <v>13</v>
      </c>
      <c r="W30" s="3989" t="e">
        <f t="shared" si="14"/>
        <v>#N/A</v>
      </c>
      <c r="X30" s="494"/>
      <c r="Y30" s="4426"/>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495"/>
      <c r="Q31" s="1544" t="str">
        <f t="shared" si="11"/>
        <v>建筑结构</v>
      </c>
      <c r="R31" s="3986" t="s">
        <v>13</v>
      </c>
      <c r="S31" s="3988">
        <f t="shared" si="12"/>
        <v>100</v>
      </c>
      <c r="T31" s="3986" t="s">
        <v>13</v>
      </c>
      <c r="U31" s="3988">
        <f t="shared" si="13"/>
        <v>100</v>
      </c>
      <c r="V31" s="3986" t="s">
        <v>13</v>
      </c>
      <c r="W31" s="3988">
        <f t="shared" si="14"/>
        <v>100</v>
      </c>
      <c r="X31" s="946"/>
      <c r="Y31" s="4426"/>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495"/>
      <c r="Q32" s="1544" t="str">
        <f t="shared" si="11"/>
        <v>公共部分装修</v>
      </c>
      <c r="R32" s="3986" t="s">
        <v>13</v>
      </c>
      <c r="S32" s="3988">
        <f t="shared" si="12"/>
        <v>100</v>
      </c>
      <c r="T32" s="3986" t="s">
        <v>13</v>
      </c>
      <c r="U32" s="3988">
        <f t="shared" si="13"/>
        <v>100</v>
      </c>
      <c r="V32" s="3986" t="s">
        <v>13</v>
      </c>
      <c r="W32" s="3988">
        <f t="shared" si="14"/>
        <v>100</v>
      </c>
      <c r="X32" s="946"/>
      <c r="Y32" s="4426"/>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495"/>
      <c r="Q33" s="1544" t="str">
        <f t="shared" si="11"/>
        <v>成新度</v>
      </c>
      <c r="R33" s="3986" t="s">
        <v>13</v>
      </c>
      <c r="S33" s="3988" t="e">
        <f t="shared" si="12"/>
        <v>#N/A</v>
      </c>
      <c r="T33" s="3986" t="s">
        <v>13</v>
      </c>
      <c r="U33" s="3988" t="e">
        <f t="shared" si="13"/>
        <v>#N/A</v>
      </c>
      <c r="V33" s="3986" t="s">
        <v>13</v>
      </c>
      <c r="W33" s="3988" t="e">
        <f t="shared" si="14"/>
        <v>#N/A</v>
      </c>
      <c r="X33" s="946"/>
      <c r="Y33" s="4426"/>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495"/>
      <c r="Q34" s="1742" t="str">
        <f t="shared" si="11"/>
        <v>物业管理</v>
      </c>
      <c r="R34" s="3985" t="s">
        <v>13</v>
      </c>
      <c r="S34" s="3755">
        <f t="shared" si="12"/>
        <v>100</v>
      </c>
      <c r="T34" s="3985" t="s">
        <v>13</v>
      </c>
      <c r="U34" s="3755">
        <f t="shared" si="13"/>
        <v>100</v>
      </c>
      <c r="V34" s="3985" t="s">
        <v>13</v>
      </c>
      <c r="W34" s="3755">
        <f t="shared" si="14"/>
        <v>100</v>
      </c>
      <c r="X34" s="493"/>
      <c r="Y34" s="4426"/>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495" t="s">
        <v>1613</v>
      </c>
      <c r="Q35" s="1544" t="str">
        <f t="shared" si="11"/>
        <v>市政基础设施</v>
      </c>
      <c r="R35" s="3986" t="s">
        <v>13</v>
      </c>
      <c r="S35" s="3988">
        <f t="shared" si="12"/>
        <v>100</v>
      </c>
      <c r="T35" s="3986" t="s">
        <v>13</v>
      </c>
      <c r="U35" s="3988">
        <f t="shared" si="13"/>
        <v>100</v>
      </c>
      <c r="V35" s="3986" t="s">
        <v>13</v>
      </c>
      <c r="W35" s="3988">
        <f t="shared" si="14"/>
        <v>100</v>
      </c>
      <c r="X35" s="946"/>
      <c r="Y35" s="4426"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495"/>
      <c r="Q36" s="1544" t="str">
        <f t="shared" si="11"/>
        <v>内部装修</v>
      </c>
      <c r="R36" s="3986" t="s">
        <v>13</v>
      </c>
      <c r="S36" s="3988">
        <f t="shared" si="12"/>
        <v>100</v>
      </c>
      <c r="T36" s="3986" t="s">
        <v>13</v>
      </c>
      <c r="U36" s="3988">
        <f t="shared" si="13"/>
        <v>100</v>
      </c>
      <c r="V36" s="3986" t="s">
        <v>13</v>
      </c>
      <c r="W36" s="3988">
        <f t="shared" si="14"/>
        <v>100</v>
      </c>
      <c r="X36" s="946"/>
      <c r="Y36" s="4426"/>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495"/>
      <c r="Q37" s="1544" t="str">
        <f t="shared" si="11"/>
        <v>内部装修状况</v>
      </c>
      <c r="R37" s="3986" t="s">
        <v>13</v>
      </c>
      <c r="S37" s="3988">
        <f t="shared" si="12"/>
        <v>100</v>
      </c>
      <c r="T37" s="3986" t="s">
        <v>13</v>
      </c>
      <c r="U37" s="3988">
        <f t="shared" si="13"/>
        <v>100</v>
      </c>
      <c r="V37" s="3986" t="s">
        <v>13</v>
      </c>
      <c r="W37" s="3988">
        <f t="shared" si="14"/>
        <v>100</v>
      </c>
      <c r="X37" s="946"/>
      <c r="Y37" s="4426"/>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495"/>
      <c r="Q38" s="392">
        <f t="shared" si="11"/>
        <v>111</v>
      </c>
      <c r="R38" s="3987" t="s">
        <v>13</v>
      </c>
      <c r="S38" s="3989">
        <f t="shared" si="12"/>
        <v>100</v>
      </c>
      <c r="T38" s="3987" t="s">
        <v>13</v>
      </c>
      <c r="U38" s="3989">
        <f t="shared" si="13"/>
        <v>100</v>
      </c>
      <c r="V38" s="3987" t="s">
        <v>13</v>
      </c>
      <c r="W38" s="3989">
        <f t="shared" si="14"/>
        <v>100</v>
      </c>
      <c r="X38" s="494"/>
      <c r="Y38" s="4426"/>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495"/>
      <c r="Q39" s="1544">
        <f t="shared" si="11"/>
        <v>111</v>
      </c>
      <c r="R39" s="3986" t="s">
        <v>13</v>
      </c>
      <c r="S39" s="3988">
        <f t="shared" si="12"/>
        <v>100</v>
      </c>
      <c r="T39" s="3986" t="s">
        <v>13</v>
      </c>
      <c r="U39" s="3988">
        <f t="shared" si="13"/>
        <v>100</v>
      </c>
      <c r="V39" s="3986" t="s">
        <v>13</v>
      </c>
      <c r="W39" s="3988">
        <f t="shared" si="14"/>
        <v>100</v>
      </c>
      <c r="X39" s="946"/>
      <c r="Y39" s="4426"/>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496"/>
      <c r="Q40" s="1544">
        <f t="shared" si="11"/>
        <v>111</v>
      </c>
      <c r="R40" s="3986" t="s">
        <v>13</v>
      </c>
      <c r="S40" s="3988">
        <f t="shared" si="12"/>
        <v>100</v>
      </c>
      <c r="T40" s="3986" t="s">
        <v>13</v>
      </c>
      <c r="U40" s="3988">
        <f t="shared" si="13"/>
        <v>100</v>
      </c>
      <c r="V40" s="3986" t="s">
        <v>13</v>
      </c>
      <c r="W40" s="3988">
        <f t="shared" si="14"/>
        <v>100</v>
      </c>
      <c r="X40" s="946"/>
      <c r="Y40" s="4427"/>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419" t="str">
        <f>A41</f>
        <v>成交单价（元/平方米）</v>
      </c>
      <c r="Q41" s="4419"/>
      <c r="R41" s="4420">
        <f>E41</f>
        <v>0</v>
      </c>
      <c r="S41" s="4420"/>
      <c r="T41" s="4420">
        <f>G41</f>
        <v>0</v>
      </c>
      <c r="U41" s="4420"/>
      <c r="V41" s="4420">
        <f>I41</f>
        <v>0</v>
      </c>
      <c r="W41" s="4420"/>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419" t="str">
        <f>A42</f>
        <v>比较价值（元/平方米）</v>
      </c>
      <c r="Q42" s="4419"/>
      <c r="R42" s="4420" t="e">
        <f>IF(F1="售价",ROUND(PRODUCT(R41,AA7:AA40),0),ROUND(PRODUCT(R41,AA7:AA40),1))</f>
        <v>#DIV/0!</v>
      </c>
      <c r="S42" s="4420"/>
      <c r="T42" s="4420" t="e">
        <f>IF(F1="售价",ROUND(PRODUCT(T41,AB7:AB40),0),ROUND(PRODUCT(T41,AB7:AB40),1))</f>
        <v>#DIV/0!</v>
      </c>
      <c r="U42" s="4420"/>
      <c r="V42" s="4420" t="e">
        <f>IF(F1="售价",ROUND(PRODUCT(V41,AC7:AC40),0),ROUND(PRODUCT(V41,AC7:AC40),1))</f>
        <v>#DIV/0!</v>
      </c>
      <c r="W42" s="4420"/>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416" t="str">
        <f>A43</f>
        <v>估价对象XX用房的比较价值（楼面单价，元/平方米）</v>
      </c>
      <c r="Q43" s="4417"/>
      <c r="R43" s="4418" t="e">
        <f>IF(F1="售价",ROUND(IF(D42="简单平均",AVERAGE(R42:V42),R42*F42+T42*H42+V42*J42),0),ROUND(IF(D42="简单平均",AVERAGE(R42:V42),R42*F42+T42*H42+V42*J42),1))</f>
        <v>#DIV/0!</v>
      </c>
      <c r="S43" s="4418"/>
      <c r="T43" s="4418"/>
      <c r="U43" s="4418"/>
      <c r="V43" s="4418"/>
      <c r="W43" s="441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2026-3</v>
      </c>
      <c r="D52" s="815">
        <f>EDATE(C52,-1)</f>
        <v>46054</v>
      </c>
      <c r="E52" s="815">
        <f t="shared" ref="E52:O52" si="16">EDATE(D52,-1)</f>
        <v>46023</v>
      </c>
      <c r="F52" s="815">
        <f t="shared" si="16"/>
        <v>45992</v>
      </c>
      <c r="G52" s="815">
        <f t="shared" si="16"/>
        <v>45962</v>
      </c>
      <c r="H52" s="815">
        <f t="shared" si="16"/>
        <v>45931</v>
      </c>
      <c r="I52" s="815">
        <f t="shared" si="16"/>
        <v>45901</v>
      </c>
      <c r="J52" s="815">
        <f t="shared" si="16"/>
        <v>45870</v>
      </c>
      <c r="K52" s="815">
        <f t="shared" si="16"/>
        <v>45839</v>
      </c>
      <c r="L52" s="815">
        <f t="shared" si="16"/>
        <v>45809</v>
      </c>
      <c r="M52" s="815">
        <f t="shared" si="16"/>
        <v>45778</v>
      </c>
      <c r="N52" s="815">
        <f t="shared" si="16"/>
        <v>45748</v>
      </c>
      <c r="O52" s="815">
        <f t="shared" si="16"/>
        <v>45717</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77" t="s">
        <v>1687</v>
      </c>
      <c r="D4" s="4478"/>
      <c r="E4" s="4479" t="s">
        <v>1688</v>
      </c>
      <c r="F4" s="4480"/>
      <c r="G4" s="4477" t="s">
        <v>1689</v>
      </c>
      <c r="H4" s="4478"/>
      <c r="I4" s="4477" t="s">
        <v>1690</v>
      </c>
      <c r="J4" s="4478"/>
      <c r="K4" s="397" t="s">
        <v>1691</v>
      </c>
      <c r="L4" s="2020"/>
      <c r="M4" s="2021"/>
      <c r="N4" s="2021"/>
      <c r="O4" s="2021"/>
      <c r="P4" s="4498" t="s">
        <v>1692</v>
      </c>
      <c r="Q4" s="4499"/>
      <c r="R4" s="4409" t="s">
        <v>1688</v>
      </c>
      <c r="S4" s="4410"/>
      <c r="T4" s="4409" t="s">
        <v>1689</v>
      </c>
      <c r="U4" s="4410"/>
      <c r="V4" s="4462" t="s">
        <v>1690</v>
      </c>
      <c r="W4" s="4462"/>
      <c r="X4" s="946"/>
      <c r="Y4" s="4409" t="s">
        <v>1692</v>
      </c>
      <c r="Z4" s="4410"/>
      <c r="AA4" s="4374" t="s">
        <v>1688</v>
      </c>
      <c r="AB4" s="4375" t="s">
        <v>1689</v>
      </c>
      <c r="AC4" s="4374" t="s">
        <v>1690</v>
      </c>
    </row>
    <row r="5" spans="1:29">
      <c r="A5" s="239"/>
      <c r="B5" s="240"/>
      <c r="C5" s="4468" t="s">
        <v>1590</v>
      </c>
      <c r="D5" s="4469"/>
      <c r="E5" s="4466" t="s">
        <v>1591</v>
      </c>
      <c r="F5" s="4467"/>
      <c r="G5" s="4468" t="s">
        <v>1592</v>
      </c>
      <c r="H5" s="4469"/>
      <c r="I5" s="4468" t="s">
        <v>1593</v>
      </c>
      <c r="J5" s="4469"/>
      <c r="K5" s="397"/>
      <c r="L5" s="2020"/>
      <c r="M5" s="2021"/>
      <c r="N5" s="2021"/>
      <c r="O5" s="2021"/>
      <c r="P5" s="4500"/>
      <c r="Q5" s="4501"/>
      <c r="R5" s="4411"/>
      <c r="S5" s="4412"/>
      <c r="T5" s="4411"/>
      <c r="U5" s="4412"/>
      <c r="V5" s="4462"/>
      <c r="W5" s="4462"/>
      <c r="X5" s="946"/>
      <c r="Y5" s="4411"/>
      <c r="Z5" s="4412"/>
      <c r="AA5" s="4375"/>
      <c r="AB5" s="4375"/>
      <c r="AC5" s="4375"/>
    </row>
    <row r="6" spans="1:29" ht="15" thickBot="1">
      <c r="A6" s="241"/>
      <c r="B6" s="242"/>
      <c r="C6" s="4470" t="s">
        <v>1594</v>
      </c>
      <c r="D6" s="4471"/>
      <c r="E6" s="4472" t="s">
        <v>1594</v>
      </c>
      <c r="F6" s="4473"/>
      <c r="G6" s="4470" t="s">
        <v>1594</v>
      </c>
      <c r="H6" s="4471"/>
      <c r="I6" s="4470" t="s">
        <v>1594</v>
      </c>
      <c r="J6" s="4471"/>
      <c r="K6" s="397" t="s">
        <v>1595</v>
      </c>
      <c r="L6" s="2020"/>
      <c r="M6" s="2021"/>
      <c r="N6" s="2021"/>
      <c r="O6" s="2021"/>
      <c r="P6" s="4502"/>
      <c r="Q6" s="4503"/>
      <c r="R6" s="4411"/>
      <c r="S6" s="4412"/>
      <c r="T6" s="4413"/>
      <c r="U6" s="4414"/>
      <c r="V6" s="4462"/>
      <c r="W6" s="4462"/>
      <c r="X6" s="946"/>
      <c r="Y6" s="4413"/>
      <c r="Z6" s="4414"/>
      <c r="AA6" s="4376"/>
      <c r="AB6" s="4376"/>
      <c r="AC6" s="4376"/>
    </row>
    <row r="7" spans="1:29" s="46" customFormat="1" ht="15" thickBot="1">
      <c r="A7" s="243" t="s">
        <v>1596</v>
      </c>
      <c r="B7" s="244"/>
      <c r="C7" s="245">
        <f>'数据-取费表'!B2</f>
        <v>46100</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377" t="s">
        <v>1597</v>
      </c>
      <c r="Q7" s="4504"/>
      <c r="R7" s="3992" t="s">
        <v>13</v>
      </c>
      <c r="S7" s="3995">
        <f t="shared" ref="S7:S14" si="0">F7</f>
        <v>0</v>
      </c>
      <c r="T7" s="3992" t="s">
        <v>13</v>
      </c>
      <c r="U7" s="3995">
        <f t="shared" ref="U7:U14" si="1">H7</f>
        <v>0</v>
      </c>
      <c r="V7" s="3992" t="s">
        <v>13</v>
      </c>
      <c r="W7" s="3995">
        <f t="shared" ref="W7:W14" si="2">J7</f>
        <v>0</v>
      </c>
      <c r="X7" s="493"/>
      <c r="Y7" s="4377" t="s">
        <v>1597</v>
      </c>
      <c r="Z7" s="4378"/>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377" t="s">
        <v>1600</v>
      </c>
      <c r="Q8" s="4378"/>
      <c r="R8" s="3992" t="s">
        <v>13</v>
      </c>
      <c r="S8" s="3995">
        <f t="shared" si="0"/>
        <v>100</v>
      </c>
      <c r="T8" s="3992" t="s">
        <v>13</v>
      </c>
      <c r="U8" s="3995">
        <f t="shared" si="1"/>
        <v>100</v>
      </c>
      <c r="V8" s="3992" t="s">
        <v>13</v>
      </c>
      <c r="W8" s="3995">
        <f t="shared" si="2"/>
        <v>100</v>
      </c>
      <c r="X8" s="493"/>
      <c r="Y8" s="4377" t="s">
        <v>1600</v>
      </c>
      <c r="Z8" s="4378"/>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497" t="s">
        <v>1603</v>
      </c>
      <c r="Q9" s="390" t="str">
        <f t="shared" ref="Q9:Q14" si="6">B9</f>
        <v>用途</v>
      </c>
      <c r="R9" s="3992" t="s">
        <v>13</v>
      </c>
      <c r="S9" s="3995">
        <f t="shared" si="0"/>
        <v>100</v>
      </c>
      <c r="T9" s="3992" t="s">
        <v>13</v>
      </c>
      <c r="U9" s="3995">
        <f t="shared" si="1"/>
        <v>100</v>
      </c>
      <c r="V9" s="3992" t="s">
        <v>13</v>
      </c>
      <c r="W9" s="3995">
        <f t="shared" si="2"/>
        <v>100</v>
      </c>
      <c r="X9" s="493"/>
      <c r="Y9" s="4393"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7"/>
      <c r="Q10" s="390" t="str">
        <f t="shared" si="6"/>
        <v>土地使用年限（年）</v>
      </c>
      <c r="R10" s="3992" t="s">
        <v>13</v>
      </c>
      <c r="S10" s="3995">
        <f t="shared" si="0"/>
        <v>100</v>
      </c>
      <c r="T10" s="3992" t="s">
        <v>13</v>
      </c>
      <c r="U10" s="3995">
        <f t="shared" si="1"/>
        <v>100</v>
      </c>
      <c r="V10" s="3992" t="s">
        <v>13</v>
      </c>
      <c r="W10" s="3995">
        <f t="shared" si="2"/>
        <v>100</v>
      </c>
      <c r="X10" s="493"/>
      <c r="Y10" s="4393"/>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7"/>
      <c r="Q11" s="390">
        <f t="shared" si="6"/>
        <v>111</v>
      </c>
      <c r="R11" s="3992" t="s">
        <v>13</v>
      </c>
      <c r="S11" s="3995">
        <f t="shared" si="0"/>
        <v>100</v>
      </c>
      <c r="T11" s="3992" t="s">
        <v>13</v>
      </c>
      <c r="U11" s="3995">
        <f t="shared" si="1"/>
        <v>100</v>
      </c>
      <c r="V11" s="3992" t="s">
        <v>13</v>
      </c>
      <c r="W11" s="3995">
        <f t="shared" si="2"/>
        <v>100</v>
      </c>
      <c r="X11" s="493"/>
      <c r="Y11" s="4393"/>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497"/>
      <c r="Q12" s="390">
        <f t="shared" si="6"/>
        <v>111</v>
      </c>
      <c r="R12" s="3992" t="s">
        <v>13</v>
      </c>
      <c r="S12" s="3995">
        <f t="shared" si="0"/>
        <v>100</v>
      </c>
      <c r="T12" s="3992" t="s">
        <v>13</v>
      </c>
      <c r="U12" s="3995">
        <f t="shared" si="1"/>
        <v>100</v>
      </c>
      <c r="V12" s="3992" t="s">
        <v>13</v>
      </c>
      <c r="W12" s="3995">
        <f t="shared" si="2"/>
        <v>100</v>
      </c>
      <c r="X12" s="493"/>
      <c r="Y12" s="4393"/>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497"/>
      <c r="Q13" s="390">
        <f t="shared" si="6"/>
        <v>111</v>
      </c>
      <c r="R13" s="3992" t="s">
        <v>13</v>
      </c>
      <c r="S13" s="3995">
        <f t="shared" si="0"/>
        <v>100</v>
      </c>
      <c r="T13" s="3992" t="s">
        <v>13</v>
      </c>
      <c r="U13" s="3995">
        <f t="shared" si="1"/>
        <v>100</v>
      </c>
      <c r="V13" s="3992" t="s">
        <v>13</v>
      </c>
      <c r="W13" s="3995">
        <f t="shared" si="2"/>
        <v>100</v>
      </c>
      <c r="X13" s="493"/>
      <c r="Y13" s="4393"/>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421" t="s">
        <v>1608</v>
      </c>
      <c r="Q14" s="943" t="str">
        <f t="shared" si="6"/>
        <v>交通便捷度</v>
      </c>
      <c r="R14" s="3993" t="s">
        <v>13</v>
      </c>
      <c r="S14" s="3996">
        <f t="shared" si="0"/>
        <v>100</v>
      </c>
      <c r="T14" s="3993" t="s">
        <v>13</v>
      </c>
      <c r="U14" s="3996">
        <f t="shared" si="1"/>
        <v>100</v>
      </c>
      <c r="V14" s="3993" t="s">
        <v>13</v>
      </c>
      <c r="W14" s="3996">
        <f t="shared" si="2"/>
        <v>100</v>
      </c>
      <c r="X14" s="946"/>
      <c r="Y14" s="4421"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422"/>
      <c r="Q15" s="943"/>
      <c r="R15" s="3993"/>
      <c r="S15" s="3996"/>
      <c r="T15" s="3993"/>
      <c r="U15" s="3996"/>
      <c r="V15" s="3993"/>
      <c r="W15" s="3996"/>
      <c r="X15" s="946"/>
      <c r="Y15" s="4422"/>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422"/>
      <c r="Q16" s="943" t="str">
        <f>B16</f>
        <v>公共配套设施</v>
      </c>
      <c r="R16" s="3993" t="s">
        <v>13</v>
      </c>
      <c r="S16" s="3996">
        <f>F16</f>
        <v>100</v>
      </c>
      <c r="T16" s="3993" t="s">
        <v>13</v>
      </c>
      <c r="U16" s="3996">
        <f>H16</f>
        <v>100</v>
      </c>
      <c r="V16" s="3993" t="s">
        <v>13</v>
      </c>
      <c r="W16" s="3996">
        <f>J16</f>
        <v>100</v>
      </c>
      <c r="X16" s="946"/>
      <c r="Y16" s="4422"/>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422"/>
      <c r="Q17" s="943"/>
      <c r="R17" s="3993"/>
      <c r="S17" s="3996"/>
      <c r="T17" s="3993"/>
      <c r="U17" s="3996"/>
      <c r="V17" s="3993"/>
      <c r="W17" s="3996"/>
      <c r="X17" s="946"/>
      <c r="Y17" s="4422"/>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422"/>
      <c r="Q18" s="943" t="str">
        <f>B18</f>
        <v>基础设施水平</v>
      </c>
      <c r="R18" s="3993" t="s">
        <v>13</v>
      </c>
      <c r="S18" s="3996">
        <f>F18</f>
        <v>100</v>
      </c>
      <c r="T18" s="3993" t="s">
        <v>13</v>
      </c>
      <c r="U18" s="3996">
        <f>H18</f>
        <v>100</v>
      </c>
      <c r="V18" s="3993" t="s">
        <v>13</v>
      </c>
      <c r="W18" s="3996">
        <f>J18</f>
        <v>100</v>
      </c>
      <c r="X18" s="946"/>
      <c r="Y18" s="4422"/>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422"/>
      <c r="Q19" s="943"/>
      <c r="R19" s="3993"/>
      <c r="S19" s="3996"/>
      <c r="T19" s="3993"/>
      <c r="U19" s="3996"/>
      <c r="V19" s="3993"/>
      <c r="W19" s="3996"/>
      <c r="X19" s="946"/>
      <c r="Y19" s="4422"/>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422"/>
      <c r="Q20" s="943" t="str">
        <f>B20</f>
        <v>自然及人文环境</v>
      </c>
      <c r="R20" s="3993" t="s">
        <v>13</v>
      </c>
      <c r="S20" s="3996">
        <f>F20</f>
        <v>100</v>
      </c>
      <c r="T20" s="3993" t="s">
        <v>13</v>
      </c>
      <c r="U20" s="3996">
        <f>H20</f>
        <v>100</v>
      </c>
      <c r="V20" s="3993" t="s">
        <v>13</v>
      </c>
      <c r="W20" s="3996">
        <f>J20</f>
        <v>100</v>
      </c>
      <c r="X20" s="946"/>
      <c r="Y20" s="4422"/>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422"/>
      <c r="Q21" s="943"/>
      <c r="R21" s="3993"/>
      <c r="S21" s="3996"/>
      <c r="T21" s="3993"/>
      <c r="U21" s="3996"/>
      <c r="V21" s="3993"/>
      <c r="W21" s="3996"/>
      <c r="X21" s="946"/>
      <c r="Y21" s="4422"/>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22"/>
      <c r="Q22" s="943" t="str">
        <f>B22</f>
        <v>楼层</v>
      </c>
      <c r="R22" s="3993" t="s">
        <v>13</v>
      </c>
      <c r="S22" s="3996">
        <f>F22</f>
        <v>100</v>
      </c>
      <c r="T22" s="3993" t="s">
        <v>13</v>
      </c>
      <c r="U22" s="3996">
        <f>H22</f>
        <v>100</v>
      </c>
      <c r="V22" s="3993" t="s">
        <v>13</v>
      </c>
      <c r="W22" s="3996">
        <f>J22</f>
        <v>100</v>
      </c>
      <c r="X22" s="946"/>
      <c r="Y22" s="4422"/>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22"/>
      <c r="Q23" s="943">
        <f>B23</f>
        <v>111</v>
      </c>
      <c r="R23" s="3993" t="s">
        <v>13</v>
      </c>
      <c r="S23" s="3996">
        <f>F23</f>
        <v>100</v>
      </c>
      <c r="T23" s="3993" t="s">
        <v>13</v>
      </c>
      <c r="U23" s="3996">
        <f>H23</f>
        <v>100</v>
      </c>
      <c r="V23" s="3993" t="s">
        <v>13</v>
      </c>
      <c r="W23" s="3996">
        <f>J23</f>
        <v>100</v>
      </c>
      <c r="X23" s="946"/>
      <c r="Y23" s="4422"/>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22"/>
      <c r="Q24" s="943">
        <f t="shared" ref="Q24:Q36" si="11">B24</f>
        <v>111</v>
      </c>
      <c r="R24" s="3993" t="s">
        <v>13</v>
      </c>
      <c r="S24" s="3996">
        <f>F24</f>
        <v>100</v>
      </c>
      <c r="T24" s="3993" t="s">
        <v>13</v>
      </c>
      <c r="U24" s="3996">
        <f>H24</f>
        <v>100</v>
      </c>
      <c r="V24" s="3993" t="s">
        <v>13</v>
      </c>
      <c r="W24" s="3996">
        <f>J24</f>
        <v>100</v>
      </c>
      <c r="X24" s="946"/>
      <c r="Y24" s="4422"/>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22"/>
      <c r="Q25" s="390">
        <f t="shared" si="11"/>
        <v>111</v>
      </c>
      <c r="R25" s="3992" t="s">
        <v>13</v>
      </c>
      <c r="S25" s="3995">
        <f>F25</f>
        <v>100</v>
      </c>
      <c r="T25" s="3992" t="s">
        <v>13</v>
      </c>
      <c r="U25" s="3995">
        <f>H25</f>
        <v>100</v>
      </c>
      <c r="V25" s="3992" t="s">
        <v>13</v>
      </c>
      <c r="W25" s="3995">
        <f>J25</f>
        <v>100</v>
      </c>
      <c r="X25" s="493"/>
      <c r="Y25" s="4422"/>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05"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426"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26"/>
      <c r="Q27" s="391" t="str">
        <f t="shared" si="11"/>
        <v>项目停车位配比</v>
      </c>
      <c r="R27" s="3994" t="s">
        <v>13</v>
      </c>
      <c r="S27" s="3997">
        <f t="shared" si="12"/>
        <v>100</v>
      </c>
      <c r="T27" s="3994" t="s">
        <v>13</v>
      </c>
      <c r="U27" s="3997">
        <f t="shared" si="13"/>
        <v>100</v>
      </c>
      <c r="V27" s="3994" t="s">
        <v>13</v>
      </c>
      <c r="W27" s="3997">
        <f t="shared" si="14"/>
        <v>100</v>
      </c>
      <c r="X27" s="494"/>
      <c r="Y27" s="4426"/>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426"/>
      <c r="Q28" s="943" t="str">
        <f t="shared" si="11"/>
        <v>公共部分装修</v>
      </c>
      <c r="R28" s="3993" t="s">
        <v>13</v>
      </c>
      <c r="S28" s="3996">
        <f t="shared" si="12"/>
        <v>100</v>
      </c>
      <c r="T28" s="3993" t="s">
        <v>13</v>
      </c>
      <c r="U28" s="3996">
        <f t="shared" si="13"/>
        <v>100</v>
      </c>
      <c r="V28" s="3993" t="s">
        <v>13</v>
      </c>
      <c r="W28" s="3996">
        <f t="shared" si="14"/>
        <v>100</v>
      </c>
      <c r="X28" s="946"/>
      <c r="Y28" s="4426"/>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426"/>
      <c r="Q29" s="943" t="str">
        <f t="shared" si="11"/>
        <v>成新率</v>
      </c>
      <c r="R29" s="3993" t="s">
        <v>13</v>
      </c>
      <c r="S29" s="3996" t="e">
        <f t="shared" si="12"/>
        <v>#N/A</v>
      </c>
      <c r="T29" s="3993" t="s">
        <v>13</v>
      </c>
      <c r="U29" s="3996" t="e">
        <f t="shared" si="13"/>
        <v>#N/A</v>
      </c>
      <c r="V29" s="3993" t="s">
        <v>13</v>
      </c>
      <c r="W29" s="3996" t="e">
        <f t="shared" si="14"/>
        <v>#N/A</v>
      </c>
      <c r="X29" s="946"/>
      <c r="Y29" s="4426"/>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426"/>
      <c r="Q30" s="943" t="str">
        <f t="shared" si="11"/>
        <v>物业等级</v>
      </c>
      <c r="R30" s="3993" t="s">
        <v>13</v>
      </c>
      <c r="S30" s="3996">
        <f t="shared" si="12"/>
        <v>100</v>
      </c>
      <c r="T30" s="3993" t="s">
        <v>13</v>
      </c>
      <c r="U30" s="3996">
        <f t="shared" si="13"/>
        <v>100</v>
      </c>
      <c r="V30" s="3993" t="s">
        <v>13</v>
      </c>
      <c r="W30" s="3996">
        <f t="shared" si="14"/>
        <v>100</v>
      </c>
      <c r="X30" s="946"/>
      <c r="Y30" s="4426"/>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426"/>
      <c r="Q31" s="390" t="str">
        <f t="shared" si="11"/>
        <v>停车位面积</v>
      </c>
      <c r="R31" s="3992" t="s">
        <v>13</v>
      </c>
      <c r="S31" s="3995" t="e">
        <f t="shared" si="12"/>
        <v>#N/A</v>
      </c>
      <c r="T31" s="3992" t="s">
        <v>13</v>
      </c>
      <c r="U31" s="3995" t="e">
        <f t="shared" si="13"/>
        <v>#N/A</v>
      </c>
      <c r="V31" s="3992" t="s">
        <v>13</v>
      </c>
      <c r="W31" s="3995" t="e">
        <f t="shared" si="14"/>
        <v>#N/A</v>
      </c>
      <c r="X31" s="493"/>
      <c r="Y31" s="4426"/>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426" t="s">
        <v>1613</v>
      </c>
      <c r="Q32" s="943" t="str">
        <f t="shared" si="11"/>
        <v>车位类型</v>
      </c>
      <c r="R32" s="3993" t="s">
        <v>13</v>
      </c>
      <c r="S32" s="3996">
        <f t="shared" si="12"/>
        <v>100</v>
      </c>
      <c r="T32" s="3993" t="s">
        <v>13</v>
      </c>
      <c r="U32" s="3996">
        <f t="shared" si="13"/>
        <v>100</v>
      </c>
      <c r="V32" s="3993" t="s">
        <v>13</v>
      </c>
      <c r="W32" s="3996">
        <f t="shared" si="14"/>
        <v>100</v>
      </c>
      <c r="X32" s="946"/>
      <c r="Y32" s="4426"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26"/>
      <c r="Q33" s="943" t="str">
        <f t="shared" si="11"/>
        <v>是否直接入户</v>
      </c>
      <c r="R33" s="3993" t="s">
        <v>13</v>
      </c>
      <c r="S33" s="3996">
        <f t="shared" si="12"/>
        <v>100</v>
      </c>
      <c r="T33" s="3993" t="s">
        <v>13</v>
      </c>
      <c r="U33" s="3996">
        <f t="shared" si="13"/>
        <v>100</v>
      </c>
      <c r="V33" s="3993" t="s">
        <v>13</v>
      </c>
      <c r="W33" s="3996">
        <f t="shared" si="14"/>
        <v>100</v>
      </c>
      <c r="X33" s="946"/>
      <c r="Y33" s="4426"/>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26"/>
      <c r="Q34" s="943">
        <f t="shared" si="11"/>
        <v>111</v>
      </c>
      <c r="R34" s="3993" t="s">
        <v>13</v>
      </c>
      <c r="S34" s="3996">
        <f t="shared" si="12"/>
        <v>100</v>
      </c>
      <c r="T34" s="3993" t="s">
        <v>13</v>
      </c>
      <c r="U34" s="3996">
        <f t="shared" si="13"/>
        <v>100</v>
      </c>
      <c r="V34" s="3993" t="s">
        <v>13</v>
      </c>
      <c r="W34" s="3996">
        <f t="shared" si="14"/>
        <v>100</v>
      </c>
      <c r="X34" s="946"/>
      <c r="Y34" s="4426"/>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26"/>
      <c r="Q35" s="391">
        <f t="shared" si="11"/>
        <v>111</v>
      </c>
      <c r="R35" s="3994" t="s">
        <v>13</v>
      </c>
      <c r="S35" s="3997">
        <f t="shared" si="12"/>
        <v>100</v>
      </c>
      <c r="T35" s="3994" t="s">
        <v>13</v>
      </c>
      <c r="U35" s="3997">
        <f t="shared" si="13"/>
        <v>100</v>
      </c>
      <c r="V35" s="3994" t="s">
        <v>13</v>
      </c>
      <c r="W35" s="3997">
        <f t="shared" si="14"/>
        <v>100</v>
      </c>
      <c r="X35" s="494"/>
      <c r="Y35" s="4426"/>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26"/>
      <c r="Q36" s="943">
        <f t="shared" si="11"/>
        <v>111</v>
      </c>
      <c r="R36" s="3993" t="s">
        <v>13</v>
      </c>
      <c r="S36" s="3996">
        <f t="shared" si="12"/>
        <v>100</v>
      </c>
      <c r="T36" s="3993" t="s">
        <v>13</v>
      </c>
      <c r="U36" s="3996">
        <f t="shared" si="13"/>
        <v>100</v>
      </c>
      <c r="V36" s="3993" t="s">
        <v>13</v>
      </c>
      <c r="W36" s="3996">
        <f t="shared" si="14"/>
        <v>100</v>
      </c>
      <c r="X36" s="946"/>
      <c r="Y36" s="4426"/>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497" t="str">
        <f>A37</f>
        <v>成交单价</v>
      </c>
      <c r="Q37" s="4497"/>
      <c r="R37" s="4462">
        <f>E37</f>
        <v>0</v>
      </c>
      <c r="S37" s="4462"/>
      <c r="T37" s="4462">
        <f>G37</f>
        <v>0</v>
      </c>
      <c r="U37" s="4462"/>
      <c r="V37" s="4462">
        <f>I37</f>
        <v>0</v>
      </c>
      <c r="W37" s="4462"/>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497" t="str">
        <f>A38</f>
        <v>比较价值（元/平方米）</v>
      </c>
      <c r="Q38" s="4497"/>
      <c r="R38" s="4462" t="e">
        <f>IF(F1="售价",ROUND(PRODUCT(R37,AA7:AA36),0),ROUND(PRODUCT(R37,AA7:AA36),1))</f>
        <v>#DIV/0!</v>
      </c>
      <c r="S38" s="4462"/>
      <c r="T38" s="4462" t="e">
        <f>IF(F1="售价",ROUND(PRODUCT(T37,AB7:AB36),0),ROUND(PRODUCT(T37,AB7:AB36),1))</f>
        <v>#DIV/0!</v>
      </c>
      <c r="U38" s="4462"/>
      <c r="V38" s="4462" t="e">
        <f>IF(F1="售价",ROUND(PRODUCT(V37,AC7:AC36),0),ROUND(PRODUCT(V37,AC7:AC36),1))</f>
        <v>#DIV/0!</v>
      </c>
      <c r="W38" s="4462"/>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06" t="str">
        <f>A39</f>
        <v>估价对象XX用房的比较价值（楼面单价，元/平方米）</v>
      </c>
      <c r="Q39" s="4507"/>
      <c r="R39" s="4508" t="e">
        <f>IF(F1="售价",ROUND(IF(D38="简单平均",AVERAGE(R38:W38),R38*F38+T38*H38+V38*J38),0),ROUND(IF(D38="简单平均",AVERAGE(R38:V38),R38*F38+T38*H38+V38*J38),1))</f>
        <v>#DIV/0!</v>
      </c>
      <c r="S39" s="4508"/>
      <c r="T39" s="4508"/>
      <c r="U39" s="4508"/>
      <c r="V39" s="4508"/>
      <c r="W39" s="4508"/>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2026-3</v>
      </c>
      <c r="D48" s="815">
        <f>EDATE(C48,-1)</f>
        <v>46054</v>
      </c>
      <c r="E48" s="815">
        <f t="shared" ref="E48:O48" si="16">EDATE(D48,-1)</f>
        <v>46023</v>
      </c>
      <c r="F48" s="815">
        <f t="shared" si="16"/>
        <v>45992</v>
      </c>
      <c r="G48" s="815">
        <f t="shared" si="16"/>
        <v>45962</v>
      </c>
      <c r="H48" s="815">
        <f t="shared" si="16"/>
        <v>45931</v>
      </c>
      <c r="I48" s="815">
        <f t="shared" si="16"/>
        <v>45901</v>
      </c>
      <c r="J48" s="815">
        <f t="shared" si="16"/>
        <v>45870</v>
      </c>
      <c r="K48" s="815">
        <f t="shared" si="16"/>
        <v>45839</v>
      </c>
      <c r="L48" s="815">
        <f t="shared" si="16"/>
        <v>45809</v>
      </c>
      <c r="M48" s="815">
        <f t="shared" si="16"/>
        <v>45778</v>
      </c>
      <c r="N48" s="815">
        <f t="shared" si="16"/>
        <v>45748</v>
      </c>
      <c r="O48" s="815">
        <f t="shared" si="16"/>
        <v>45717</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77" t="s">
        <v>1687</v>
      </c>
      <c r="D4" s="4478"/>
      <c r="E4" s="4479" t="s">
        <v>1688</v>
      </c>
      <c r="F4" s="4480"/>
      <c r="G4" s="4477" t="s">
        <v>1689</v>
      </c>
      <c r="H4" s="4478"/>
      <c r="I4" s="4477" t="s">
        <v>1690</v>
      </c>
      <c r="J4" s="4478"/>
      <c r="K4" s="397" t="s">
        <v>1691</v>
      </c>
      <c r="L4" s="2020"/>
      <c r="M4" s="2021"/>
      <c r="N4" s="2021"/>
      <c r="O4" s="2021"/>
      <c r="P4" s="4498" t="s">
        <v>1692</v>
      </c>
      <c r="Q4" s="4499"/>
      <c r="R4" s="4409" t="s">
        <v>1688</v>
      </c>
      <c r="S4" s="4410"/>
      <c r="T4" s="4409" t="s">
        <v>1689</v>
      </c>
      <c r="U4" s="4410"/>
      <c r="V4" s="4462" t="s">
        <v>1690</v>
      </c>
      <c r="W4" s="4462"/>
      <c r="X4" s="946"/>
      <c r="Y4" s="4409" t="s">
        <v>1692</v>
      </c>
      <c r="Z4" s="4410"/>
      <c r="AA4" s="4374" t="s">
        <v>1688</v>
      </c>
      <c r="AB4" s="4375" t="s">
        <v>1689</v>
      </c>
      <c r="AC4" s="4374" t="s">
        <v>1690</v>
      </c>
    </row>
    <row r="5" spans="1:29">
      <c r="A5" s="239"/>
      <c r="B5" s="240"/>
      <c r="C5" s="4468" t="s">
        <v>1590</v>
      </c>
      <c r="D5" s="4469"/>
      <c r="E5" s="4466" t="s">
        <v>1591</v>
      </c>
      <c r="F5" s="4467"/>
      <c r="G5" s="4468" t="s">
        <v>1592</v>
      </c>
      <c r="H5" s="4469"/>
      <c r="I5" s="4468" t="s">
        <v>1593</v>
      </c>
      <c r="J5" s="4469"/>
      <c r="K5" s="397"/>
      <c r="L5" s="2020"/>
      <c r="M5" s="2021"/>
      <c r="N5" s="2021"/>
      <c r="O5" s="2021"/>
      <c r="P5" s="4500"/>
      <c r="Q5" s="4501"/>
      <c r="R5" s="4411"/>
      <c r="S5" s="4412"/>
      <c r="T5" s="4411"/>
      <c r="U5" s="4412"/>
      <c r="V5" s="4462"/>
      <c r="W5" s="4462"/>
      <c r="X5" s="946"/>
      <c r="Y5" s="4411"/>
      <c r="Z5" s="4412"/>
      <c r="AA5" s="4375"/>
      <c r="AB5" s="4375"/>
      <c r="AC5" s="4375"/>
    </row>
    <row r="6" spans="1:29" ht="15" thickBot="1">
      <c r="A6" s="241"/>
      <c r="B6" s="242"/>
      <c r="C6" s="4470" t="s">
        <v>1594</v>
      </c>
      <c r="D6" s="4471"/>
      <c r="E6" s="4472" t="s">
        <v>1594</v>
      </c>
      <c r="F6" s="4473"/>
      <c r="G6" s="4470" t="s">
        <v>1594</v>
      </c>
      <c r="H6" s="4471"/>
      <c r="I6" s="4470" t="s">
        <v>1594</v>
      </c>
      <c r="J6" s="4471"/>
      <c r="K6" s="397" t="s">
        <v>1595</v>
      </c>
      <c r="L6" s="2020"/>
      <c r="M6" s="2021"/>
      <c r="N6" s="2021"/>
      <c r="O6" s="2021"/>
      <c r="P6" s="4502"/>
      <c r="Q6" s="4503"/>
      <c r="R6" s="4411"/>
      <c r="S6" s="4412"/>
      <c r="T6" s="4413"/>
      <c r="U6" s="4414"/>
      <c r="V6" s="4462"/>
      <c r="W6" s="4462"/>
      <c r="X6" s="946"/>
      <c r="Y6" s="4413"/>
      <c r="Z6" s="4414"/>
      <c r="AA6" s="4376"/>
      <c r="AB6" s="4376"/>
      <c r="AC6" s="4376"/>
    </row>
    <row r="7" spans="1:29" s="46" customFormat="1" ht="15" thickBot="1">
      <c r="A7" s="243" t="s">
        <v>1596</v>
      </c>
      <c r="B7" s="244"/>
      <c r="C7" s="245">
        <f>'数据-取费表'!B2</f>
        <v>46100</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377" t="s">
        <v>1597</v>
      </c>
      <c r="Q7" s="4504"/>
      <c r="R7" s="3992" t="s">
        <v>13</v>
      </c>
      <c r="S7" s="3995">
        <f t="shared" ref="S7:S14" si="0">F7</f>
        <v>0</v>
      </c>
      <c r="T7" s="3992" t="s">
        <v>13</v>
      </c>
      <c r="U7" s="3995">
        <f t="shared" ref="U7:U14" si="1">H7</f>
        <v>0</v>
      </c>
      <c r="V7" s="3992" t="s">
        <v>13</v>
      </c>
      <c r="W7" s="3995">
        <f t="shared" ref="W7:W14" si="2">J7</f>
        <v>0</v>
      </c>
      <c r="X7" s="493"/>
      <c r="Y7" s="4377" t="s">
        <v>1597</v>
      </c>
      <c r="Z7" s="4378"/>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377" t="s">
        <v>1600</v>
      </c>
      <c r="Q8" s="4378"/>
      <c r="R8" s="3992" t="s">
        <v>13</v>
      </c>
      <c r="S8" s="3995">
        <f t="shared" si="0"/>
        <v>100</v>
      </c>
      <c r="T8" s="3992" t="s">
        <v>13</v>
      </c>
      <c r="U8" s="3995">
        <f t="shared" si="1"/>
        <v>100</v>
      </c>
      <c r="V8" s="3992" t="s">
        <v>13</v>
      </c>
      <c r="W8" s="3995">
        <f t="shared" si="2"/>
        <v>100</v>
      </c>
      <c r="X8" s="493"/>
      <c r="Y8" s="4377" t="s">
        <v>1600</v>
      </c>
      <c r="Z8" s="4378"/>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497" t="s">
        <v>1603</v>
      </c>
      <c r="Q9" s="390" t="str">
        <f t="shared" ref="Q9:Q14" si="6">B9</f>
        <v>用途</v>
      </c>
      <c r="R9" s="3992" t="s">
        <v>13</v>
      </c>
      <c r="S9" s="3995">
        <f t="shared" si="0"/>
        <v>100</v>
      </c>
      <c r="T9" s="3992" t="s">
        <v>13</v>
      </c>
      <c r="U9" s="3995">
        <f t="shared" si="1"/>
        <v>100</v>
      </c>
      <c r="V9" s="3992" t="s">
        <v>13</v>
      </c>
      <c r="W9" s="3995">
        <f t="shared" si="2"/>
        <v>100</v>
      </c>
      <c r="X9" s="493"/>
      <c r="Y9" s="4393"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7"/>
      <c r="Q10" s="390" t="str">
        <f t="shared" si="6"/>
        <v>土地使用年限（年）</v>
      </c>
      <c r="R10" s="3992" t="s">
        <v>13</v>
      </c>
      <c r="S10" s="3995">
        <f t="shared" si="0"/>
        <v>100</v>
      </c>
      <c r="T10" s="3992" t="s">
        <v>13</v>
      </c>
      <c r="U10" s="3995">
        <f t="shared" si="1"/>
        <v>100</v>
      </c>
      <c r="V10" s="3992" t="s">
        <v>13</v>
      </c>
      <c r="W10" s="3995">
        <f t="shared" si="2"/>
        <v>100</v>
      </c>
      <c r="X10" s="493"/>
      <c r="Y10" s="4393"/>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7"/>
      <c r="Q11" s="390">
        <f t="shared" si="6"/>
        <v>111</v>
      </c>
      <c r="R11" s="3992" t="s">
        <v>13</v>
      </c>
      <c r="S11" s="3995">
        <f t="shared" si="0"/>
        <v>100</v>
      </c>
      <c r="T11" s="3992" t="s">
        <v>13</v>
      </c>
      <c r="U11" s="3995">
        <f t="shared" si="1"/>
        <v>100</v>
      </c>
      <c r="V11" s="3992" t="s">
        <v>13</v>
      </c>
      <c r="W11" s="3995">
        <f t="shared" si="2"/>
        <v>100</v>
      </c>
      <c r="X11" s="493"/>
      <c r="Y11" s="4393"/>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497"/>
      <c r="Q12" s="390">
        <f t="shared" si="6"/>
        <v>111</v>
      </c>
      <c r="R12" s="3992" t="s">
        <v>13</v>
      </c>
      <c r="S12" s="3995">
        <f t="shared" si="0"/>
        <v>100</v>
      </c>
      <c r="T12" s="3992" t="s">
        <v>13</v>
      </c>
      <c r="U12" s="3995">
        <f t="shared" si="1"/>
        <v>100</v>
      </c>
      <c r="V12" s="3992" t="s">
        <v>13</v>
      </c>
      <c r="W12" s="3995">
        <f t="shared" si="2"/>
        <v>100</v>
      </c>
      <c r="X12" s="493"/>
      <c r="Y12" s="4393"/>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497"/>
      <c r="Q13" s="390">
        <f t="shared" si="6"/>
        <v>111</v>
      </c>
      <c r="R13" s="3992" t="s">
        <v>13</v>
      </c>
      <c r="S13" s="3995">
        <f t="shared" si="0"/>
        <v>100</v>
      </c>
      <c r="T13" s="3992" t="s">
        <v>13</v>
      </c>
      <c r="U13" s="3995">
        <f t="shared" si="1"/>
        <v>100</v>
      </c>
      <c r="V13" s="3992" t="s">
        <v>13</v>
      </c>
      <c r="W13" s="3995">
        <f t="shared" si="2"/>
        <v>100</v>
      </c>
      <c r="X13" s="493"/>
      <c r="Y13" s="4393"/>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21" t="s">
        <v>1608</v>
      </c>
      <c r="Q14" s="943" t="str">
        <f t="shared" si="6"/>
        <v>交通便捷度</v>
      </c>
      <c r="R14" s="3993" t="s">
        <v>13</v>
      </c>
      <c r="S14" s="3996">
        <f t="shared" si="0"/>
        <v>100</v>
      </c>
      <c r="T14" s="3993" t="s">
        <v>13</v>
      </c>
      <c r="U14" s="3996">
        <f t="shared" si="1"/>
        <v>100</v>
      </c>
      <c r="V14" s="3993" t="s">
        <v>13</v>
      </c>
      <c r="W14" s="3996">
        <f t="shared" si="2"/>
        <v>100</v>
      </c>
      <c r="X14" s="946"/>
      <c r="Y14" s="4421"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22"/>
      <c r="Q15" s="943"/>
      <c r="R15" s="3993"/>
      <c r="S15" s="3996"/>
      <c r="T15" s="3993"/>
      <c r="U15" s="3996"/>
      <c r="V15" s="3993"/>
      <c r="W15" s="3996"/>
      <c r="X15" s="946"/>
      <c r="Y15" s="4422"/>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22"/>
      <c r="Q16" s="943" t="str">
        <f>B16</f>
        <v>公共配套设施</v>
      </c>
      <c r="R16" s="3993" t="s">
        <v>13</v>
      </c>
      <c r="S16" s="3996">
        <f>F16</f>
        <v>100</v>
      </c>
      <c r="T16" s="3993" t="s">
        <v>13</v>
      </c>
      <c r="U16" s="3996">
        <f>H16</f>
        <v>100</v>
      </c>
      <c r="V16" s="3993" t="s">
        <v>13</v>
      </c>
      <c r="W16" s="3996">
        <f>J16</f>
        <v>100</v>
      </c>
      <c r="X16" s="946"/>
      <c r="Y16" s="4422"/>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22"/>
      <c r="Q17" s="943"/>
      <c r="R17" s="3993"/>
      <c r="S17" s="3996"/>
      <c r="T17" s="3993"/>
      <c r="U17" s="3996"/>
      <c r="V17" s="3993"/>
      <c r="W17" s="3996"/>
      <c r="X17" s="946"/>
      <c r="Y17" s="4422"/>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22"/>
      <c r="Q18" s="943" t="str">
        <f>B18</f>
        <v>基础设施水平</v>
      </c>
      <c r="R18" s="3993" t="s">
        <v>13</v>
      </c>
      <c r="S18" s="3996">
        <f>F18</f>
        <v>100</v>
      </c>
      <c r="T18" s="3993" t="s">
        <v>13</v>
      </c>
      <c r="U18" s="3996">
        <f>H18</f>
        <v>100</v>
      </c>
      <c r="V18" s="3993" t="s">
        <v>13</v>
      </c>
      <c r="W18" s="3996">
        <f>J18</f>
        <v>100</v>
      </c>
      <c r="X18" s="946"/>
      <c r="Y18" s="4422"/>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22"/>
      <c r="Q19" s="943"/>
      <c r="R19" s="3993"/>
      <c r="S19" s="3996"/>
      <c r="T19" s="3993"/>
      <c r="U19" s="3996"/>
      <c r="V19" s="3993"/>
      <c r="W19" s="3996"/>
      <c r="X19" s="946"/>
      <c r="Y19" s="4422"/>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22"/>
      <c r="Q20" s="943" t="str">
        <f>B20</f>
        <v>自然及人文环境</v>
      </c>
      <c r="R20" s="3993" t="s">
        <v>13</v>
      </c>
      <c r="S20" s="3996">
        <f>F20</f>
        <v>100</v>
      </c>
      <c r="T20" s="3993" t="s">
        <v>13</v>
      </c>
      <c r="U20" s="3996">
        <f>H20</f>
        <v>100</v>
      </c>
      <c r="V20" s="3993" t="s">
        <v>13</v>
      </c>
      <c r="W20" s="3996">
        <f>J20</f>
        <v>100</v>
      </c>
      <c r="X20" s="946"/>
      <c r="Y20" s="4422"/>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22"/>
      <c r="Q21" s="943"/>
      <c r="R21" s="3993"/>
      <c r="S21" s="3996"/>
      <c r="T21" s="3993"/>
      <c r="U21" s="3996"/>
      <c r="V21" s="3993"/>
      <c r="W21" s="3996"/>
      <c r="X21" s="946"/>
      <c r="Y21" s="4422"/>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22"/>
      <c r="Q22" s="943" t="str">
        <f>B22</f>
        <v>楼层</v>
      </c>
      <c r="R22" s="3993" t="s">
        <v>13</v>
      </c>
      <c r="S22" s="3996">
        <f>F22</f>
        <v>100</v>
      </c>
      <c r="T22" s="3993" t="s">
        <v>13</v>
      </c>
      <c r="U22" s="3996">
        <f>H22</f>
        <v>100</v>
      </c>
      <c r="V22" s="3993" t="s">
        <v>13</v>
      </c>
      <c r="W22" s="3996">
        <f>J22</f>
        <v>100</v>
      </c>
      <c r="X22" s="946"/>
      <c r="Y22" s="4422"/>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22"/>
      <c r="Q23" s="943">
        <f>B23</f>
        <v>111</v>
      </c>
      <c r="R23" s="3993" t="s">
        <v>13</v>
      </c>
      <c r="S23" s="3996">
        <f>F23</f>
        <v>100</v>
      </c>
      <c r="T23" s="3993" t="s">
        <v>13</v>
      </c>
      <c r="U23" s="3996">
        <f>H23</f>
        <v>100</v>
      </c>
      <c r="V23" s="3993" t="s">
        <v>13</v>
      </c>
      <c r="W23" s="3996">
        <f>J23</f>
        <v>100</v>
      </c>
      <c r="X23" s="946"/>
      <c r="Y23" s="4422"/>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22"/>
      <c r="Q24" s="943">
        <f t="shared" ref="Q24:Q34" si="11">B24</f>
        <v>111</v>
      </c>
      <c r="R24" s="3993" t="s">
        <v>13</v>
      </c>
      <c r="S24" s="3996">
        <f>F24</f>
        <v>100</v>
      </c>
      <c r="T24" s="3993" t="s">
        <v>13</v>
      </c>
      <c r="U24" s="3996">
        <f>H24</f>
        <v>100</v>
      </c>
      <c r="V24" s="3993" t="s">
        <v>13</v>
      </c>
      <c r="W24" s="3996">
        <f>J24</f>
        <v>100</v>
      </c>
      <c r="X24" s="946"/>
      <c r="Y24" s="4422"/>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22"/>
      <c r="Q25" s="390">
        <f t="shared" si="11"/>
        <v>111</v>
      </c>
      <c r="R25" s="3992" t="s">
        <v>13</v>
      </c>
      <c r="S25" s="3995">
        <f>F25</f>
        <v>100</v>
      </c>
      <c r="T25" s="3992" t="s">
        <v>13</v>
      </c>
      <c r="U25" s="3995">
        <f>H25</f>
        <v>100</v>
      </c>
      <c r="V25" s="3992" t="s">
        <v>13</v>
      </c>
      <c r="W25" s="3995">
        <f>J25</f>
        <v>100</v>
      </c>
      <c r="X25" s="493"/>
      <c r="Y25" s="4422"/>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05"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26"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26"/>
      <c r="Q27" s="391" t="str">
        <f t="shared" si="11"/>
        <v>成新率</v>
      </c>
      <c r="R27" s="3994" t="s">
        <v>13</v>
      </c>
      <c r="S27" s="3997" t="e">
        <f t="shared" si="12"/>
        <v>#N/A</v>
      </c>
      <c r="T27" s="3994" t="s">
        <v>13</v>
      </c>
      <c r="U27" s="3997" t="e">
        <f t="shared" si="13"/>
        <v>#N/A</v>
      </c>
      <c r="V27" s="3994" t="s">
        <v>13</v>
      </c>
      <c r="W27" s="3997" t="e">
        <f t="shared" si="14"/>
        <v>#N/A</v>
      </c>
      <c r="X27" s="494"/>
      <c r="Y27" s="4426"/>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26"/>
      <c r="Q28" s="943" t="str">
        <f t="shared" si="11"/>
        <v>物业等级</v>
      </c>
      <c r="R28" s="3993" t="s">
        <v>13</v>
      </c>
      <c r="S28" s="3996">
        <f t="shared" si="12"/>
        <v>100</v>
      </c>
      <c r="T28" s="3993" t="s">
        <v>13</v>
      </c>
      <c r="U28" s="3996">
        <f t="shared" si="13"/>
        <v>100</v>
      </c>
      <c r="V28" s="3993" t="s">
        <v>13</v>
      </c>
      <c r="W28" s="3996">
        <f t="shared" si="14"/>
        <v>100</v>
      </c>
      <c r="X28" s="946"/>
      <c r="Y28" s="4426"/>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26"/>
      <c r="Q29" s="943" t="str">
        <f t="shared" si="11"/>
        <v>有无电梯</v>
      </c>
      <c r="R29" s="3993" t="s">
        <v>13</v>
      </c>
      <c r="S29" s="3996">
        <f t="shared" si="12"/>
        <v>100</v>
      </c>
      <c r="T29" s="3993" t="s">
        <v>13</v>
      </c>
      <c r="U29" s="3996">
        <f t="shared" si="13"/>
        <v>100</v>
      </c>
      <c r="V29" s="3993" t="s">
        <v>13</v>
      </c>
      <c r="W29" s="3996">
        <f t="shared" si="14"/>
        <v>100</v>
      </c>
      <c r="X29" s="946"/>
      <c r="Y29" s="4426"/>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26"/>
      <c r="Q30" s="943" t="str">
        <f t="shared" si="11"/>
        <v>建筑面积</v>
      </c>
      <c r="R30" s="3993" t="s">
        <v>13</v>
      </c>
      <c r="S30" s="3996" t="e">
        <f t="shared" si="12"/>
        <v>#N/A</v>
      </c>
      <c r="T30" s="3993" t="s">
        <v>13</v>
      </c>
      <c r="U30" s="3996" t="e">
        <f t="shared" si="13"/>
        <v>#N/A</v>
      </c>
      <c r="V30" s="3993" t="s">
        <v>13</v>
      </c>
      <c r="W30" s="3996" t="e">
        <f t="shared" si="14"/>
        <v>#N/A</v>
      </c>
      <c r="X30" s="946"/>
      <c r="Y30" s="4426"/>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26"/>
      <c r="Q31" s="390" t="str">
        <f t="shared" si="11"/>
        <v>是否封闭</v>
      </c>
      <c r="R31" s="3992" t="s">
        <v>13</v>
      </c>
      <c r="S31" s="3995">
        <f t="shared" si="12"/>
        <v>100</v>
      </c>
      <c r="T31" s="3992" t="s">
        <v>13</v>
      </c>
      <c r="U31" s="3995">
        <f t="shared" si="13"/>
        <v>100</v>
      </c>
      <c r="V31" s="3992" t="s">
        <v>13</v>
      </c>
      <c r="W31" s="3995">
        <f t="shared" si="14"/>
        <v>100</v>
      </c>
      <c r="X31" s="493"/>
      <c r="Y31" s="4426"/>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26" t="s">
        <v>1613</v>
      </c>
      <c r="Q32" s="943">
        <f t="shared" si="11"/>
        <v>111</v>
      </c>
      <c r="R32" s="3993" t="s">
        <v>13</v>
      </c>
      <c r="S32" s="3996">
        <f t="shared" si="12"/>
        <v>100</v>
      </c>
      <c r="T32" s="3993" t="s">
        <v>13</v>
      </c>
      <c r="U32" s="3996">
        <f t="shared" si="13"/>
        <v>100</v>
      </c>
      <c r="V32" s="3993" t="s">
        <v>13</v>
      </c>
      <c r="W32" s="3996">
        <f t="shared" si="14"/>
        <v>100</v>
      </c>
      <c r="X32" s="946"/>
      <c r="Y32" s="4426"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26"/>
      <c r="Q33" s="943">
        <f t="shared" si="11"/>
        <v>111</v>
      </c>
      <c r="R33" s="3993" t="s">
        <v>13</v>
      </c>
      <c r="S33" s="3996">
        <f t="shared" si="12"/>
        <v>100</v>
      </c>
      <c r="T33" s="3993" t="s">
        <v>13</v>
      </c>
      <c r="U33" s="3996">
        <f t="shared" si="13"/>
        <v>100</v>
      </c>
      <c r="V33" s="3993" t="s">
        <v>13</v>
      </c>
      <c r="W33" s="3996">
        <f t="shared" si="14"/>
        <v>100</v>
      </c>
      <c r="X33" s="946"/>
      <c r="Y33" s="4426"/>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26"/>
      <c r="Q34" s="943">
        <f t="shared" si="11"/>
        <v>111</v>
      </c>
      <c r="R34" s="3993" t="s">
        <v>13</v>
      </c>
      <c r="S34" s="3996">
        <f t="shared" si="12"/>
        <v>100</v>
      </c>
      <c r="T34" s="3993" t="s">
        <v>13</v>
      </c>
      <c r="U34" s="3996">
        <f t="shared" si="13"/>
        <v>100</v>
      </c>
      <c r="V34" s="3993" t="s">
        <v>13</v>
      </c>
      <c r="W34" s="3996">
        <f t="shared" si="14"/>
        <v>100</v>
      </c>
      <c r="X34" s="946"/>
      <c r="Y34" s="4426"/>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497" t="str">
        <f>A35</f>
        <v>成交单价（元/平方米）</v>
      </c>
      <c r="Q35" s="4497"/>
      <c r="R35" s="4462">
        <f>E35</f>
        <v>0</v>
      </c>
      <c r="S35" s="4462"/>
      <c r="T35" s="4462">
        <f>G35</f>
        <v>0</v>
      </c>
      <c r="U35" s="4462"/>
      <c r="V35" s="4462">
        <f>I35</f>
        <v>0</v>
      </c>
      <c r="W35" s="4462"/>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497" t="str">
        <f>A36</f>
        <v>比较价值（元/平方米）</v>
      </c>
      <c r="Q36" s="4497"/>
      <c r="R36" s="4462" t="e">
        <f>IF(F1="售价",ROUND(PRODUCT(R35,AA7:AA34),0),ROUND(PRODUCT(R35,AA7:AA34),1))</f>
        <v>#DIV/0!</v>
      </c>
      <c r="S36" s="4462"/>
      <c r="T36" s="4462" t="e">
        <f>IF(F1="售价",ROUND(PRODUCT(T35,AB7:AB34),0),ROUND(PRODUCT(T35,AB7:AB34),1))</f>
        <v>#DIV/0!</v>
      </c>
      <c r="U36" s="4462"/>
      <c r="V36" s="4462" t="e">
        <f>IF(F1="售价",ROUND(PRODUCT(V35,AC7:AC34),0),ROUND(PRODUCT(V35,AC7:AC34),1))</f>
        <v>#DIV/0!</v>
      </c>
      <c r="W36" s="4462"/>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06" t="str">
        <f>A37</f>
        <v>估价对象XX用房的比较价值（楼面单价，元/平方米）</v>
      </c>
      <c r="Q37" s="4507"/>
      <c r="R37" s="4508" t="e">
        <f>IF(F1="售价",ROUND(IF(D36="简单平均",AVERAGE(R36:W36),R36*F36+T36*H36+V36*J36),0),ROUND(IF(D36="简单平均",AVERAGE(R36:V36),R36*F36+T36*H36+V36*J36),1))</f>
        <v>#DIV/0!</v>
      </c>
      <c r="S37" s="4508"/>
      <c r="T37" s="4508"/>
      <c r="U37" s="4508"/>
      <c r="V37" s="4508"/>
      <c r="W37" s="4508"/>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2026-3</v>
      </c>
      <c r="D46" s="815">
        <f>EDATE(C46,-1)</f>
        <v>46054</v>
      </c>
      <c r="E46" s="815">
        <f t="shared" ref="E46:O46" si="16">EDATE(D46,-1)</f>
        <v>46023</v>
      </c>
      <c r="F46" s="815">
        <f t="shared" si="16"/>
        <v>45992</v>
      </c>
      <c r="G46" s="815">
        <f t="shared" si="16"/>
        <v>45962</v>
      </c>
      <c r="H46" s="815">
        <f t="shared" si="16"/>
        <v>45931</v>
      </c>
      <c r="I46" s="815">
        <f t="shared" si="16"/>
        <v>45901</v>
      </c>
      <c r="J46" s="815">
        <f t="shared" si="16"/>
        <v>45870</v>
      </c>
      <c r="K46" s="815">
        <f t="shared" si="16"/>
        <v>45839</v>
      </c>
      <c r="L46" s="815">
        <f t="shared" si="16"/>
        <v>45809</v>
      </c>
      <c r="M46" s="815">
        <f t="shared" si="16"/>
        <v>45778</v>
      </c>
      <c r="N46" s="815">
        <f t="shared" si="16"/>
        <v>45748</v>
      </c>
      <c r="O46" s="815">
        <f t="shared" si="16"/>
        <v>45717</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394" t="s">
        <v>1687</v>
      </c>
      <c r="D6" s="4395"/>
      <c r="E6" s="4396" t="s">
        <v>1688</v>
      </c>
      <c r="F6" s="4397"/>
      <c r="G6" s="4394" t="s">
        <v>1689</v>
      </c>
      <c r="H6" s="4395"/>
      <c r="I6" s="4394" t="s">
        <v>1690</v>
      </c>
      <c r="J6" s="4395"/>
      <c r="K6" s="2987" t="s">
        <v>1691</v>
      </c>
      <c r="L6" s="2020"/>
      <c r="M6" s="2021"/>
      <c r="N6" s="2021"/>
      <c r="O6" s="2021"/>
      <c r="P6" s="4398" t="s">
        <v>1692</v>
      </c>
      <c r="Q6" s="4399"/>
      <c r="R6" s="4379" t="s">
        <v>1688</v>
      </c>
      <c r="S6" s="4380"/>
      <c r="T6" s="4379" t="s">
        <v>1689</v>
      </c>
      <c r="U6" s="4380"/>
      <c r="V6" s="4406" t="s">
        <v>1690</v>
      </c>
      <c r="W6" s="4406"/>
      <c r="X6" s="946"/>
      <c r="Y6" s="4409" t="s">
        <v>1692</v>
      </c>
      <c r="Z6" s="4410"/>
      <c r="AA6" s="4374" t="s">
        <v>1688</v>
      </c>
      <c r="AB6" s="4375" t="s">
        <v>1689</v>
      </c>
      <c r="AC6" s="4374" t="s">
        <v>1690</v>
      </c>
    </row>
    <row r="7" spans="1:29">
      <c r="A7" s="239"/>
      <c r="B7" s="240"/>
      <c r="C7" s="4385" t="s">
        <v>1590</v>
      </c>
      <c r="D7" s="4386"/>
      <c r="E7" s="4383" t="s">
        <v>1591</v>
      </c>
      <c r="F7" s="4384"/>
      <c r="G7" s="4385" t="s">
        <v>1592</v>
      </c>
      <c r="H7" s="4386"/>
      <c r="I7" s="4385" t="s">
        <v>1593</v>
      </c>
      <c r="J7" s="4386"/>
      <c r="K7" s="2987"/>
      <c r="L7" s="2020"/>
      <c r="M7" s="2021"/>
      <c r="N7" s="2021"/>
      <c r="O7" s="2021"/>
      <c r="P7" s="4400"/>
      <c r="Q7" s="4401"/>
      <c r="R7" s="4381"/>
      <c r="S7" s="4382"/>
      <c r="T7" s="4381"/>
      <c r="U7" s="4382"/>
      <c r="V7" s="4406"/>
      <c r="W7" s="4406"/>
      <c r="X7" s="946"/>
      <c r="Y7" s="4411"/>
      <c r="Z7" s="4412"/>
      <c r="AA7" s="4375"/>
      <c r="AB7" s="4375"/>
      <c r="AC7" s="4375"/>
    </row>
    <row r="8" spans="1:29" ht="15" thickBot="1">
      <c r="A8" s="241"/>
      <c r="B8" s="242"/>
      <c r="C8" s="4391" t="s">
        <v>1594</v>
      </c>
      <c r="D8" s="4388"/>
      <c r="E8" s="4389" t="s">
        <v>1594</v>
      </c>
      <c r="F8" s="4390"/>
      <c r="G8" s="4391" t="s">
        <v>1594</v>
      </c>
      <c r="H8" s="4388"/>
      <c r="I8" s="4391" t="s">
        <v>1594</v>
      </c>
      <c r="J8" s="4388"/>
      <c r="K8" s="2987" t="s">
        <v>1595</v>
      </c>
      <c r="L8" s="2020"/>
      <c r="M8" s="2021"/>
      <c r="N8" s="2021"/>
      <c r="O8" s="2021"/>
      <c r="P8" s="4402"/>
      <c r="Q8" s="4403"/>
      <c r="R8" s="4381"/>
      <c r="S8" s="4382"/>
      <c r="T8" s="4404"/>
      <c r="U8" s="4405"/>
      <c r="V8" s="4406"/>
      <c r="W8" s="4406"/>
      <c r="X8" s="946"/>
      <c r="Y8" s="4413"/>
      <c r="Z8" s="4414"/>
      <c r="AA8" s="4376"/>
      <c r="AB8" s="4376"/>
      <c r="AC8" s="4376"/>
    </row>
    <row r="9" spans="1:29" s="46" customFormat="1" ht="15" thickBot="1">
      <c r="A9" s="3260" t="s">
        <v>1596</v>
      </c>
      <c r="B9" s="3261"/>
      <c r="C9" s="2935">
        <f>'数据-取费表'!B2</f>
        <v>46100</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07" t="s">
        <v>1597</v>
      </c>
      <c r="Q9" s="4415"/>
      <c r="R9" s="3985" t="s">
        <v>13</v>
      </c>
      <c r="S9" s="3755">
        <f t="shared" ref="S9:S17" si="0">F9</f>
        <v>0</v>
      </c>
      <c r="T9" s="3985" t="s">
        <v>13</v>
      </c>
      <c r="U9" s="3755">
        <f t="shared" ref="U9:U17" si="1">H9</f>
        <v>0</v>
      </c>
      <c r="V9" s="3985" t="s">
        <v>13</v>
      </c>
      <c r="W9" s="3755">
        <f t="shared" ref="W9:W17" si="2">J9</f>
        <v>0</v>
      </c>
      <c r="X9" s="493"/>
      <c r="Y9" s="4377" t="s">
        <v>1597</v>
      </c>
      <c r="Z9" s="4378"/>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07" t="s">
        <v>1600</v>
      </c>
      <c r="Q10" s="4408"/>
      <c r="R10" s="3985" t="s">
        <v>13</v>
      </c>
      <c r="S10" s="3755">
        <f t="shared" si="0"/>
        <v>100</v>
      </c>
      <c r="T10" s="3985" t="s">
        <v>13</v>
      </c>
      <c r="U10" s="3755">
        <f t="shared" si="1"/>
        <v>100</v>
      </c>
      <c r="V10" s="3985" t="s">
        <v>13</v>
      </c>
      <c r="W10" s="3755">
        <f t="shared" si="2"/>
        <v>100</v>
      </c>
      <c r="X10" s="493"/>
      <c r="Y10" s="4377" t="s">
        <v>1600</v>
      </c>
      <c r="Z10" s="4378"/>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419" t="s">
        <v>1603</v>
      </c>
      <c r="Q11" s="1742" t="str">
        <f t="shared" ref="Q11:Q17" si="6">B11</f>
        <v>用途</v>
      </c>
      <c r="R11" s="3985" t="s">
        <v>13</v>
      </c>
      <c r="S11" s="3755">
        <f t="shared" si="0"/>
        <v>100</v>
      </c>
      <c r="T11" s="3985" t="s">
        <v>13</v>
      </c>
      <c r="U11" s="3755">
        <f t="shared" si="1"/>
        <v>100</v>
      </c>
      <c r="V11" s="3985" t="s">
        <v>13</v>
      </c>
      <c r="W11" s="3755">
        <f t="shared" si="2"/>
        <v>100</v>
      </c>
      <c r="X11" s="493"/>
      <c r="Y11" s="4393"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419"/>
      <c r="Q12" s="1742" t="str">
        <f t="shared" si="6"/>
        <v>土地使用年限（年）</v>
      </c>
      <c r="R12" s="3985" t="s">
        <v>13</v>
      </c>
      <c r="S12" s="3755" t="e">
        <f t="shared" si="0"/>
        <v>#DIV/0!</v>
      </c>
      <c r="T12" s="3985" t="s">
        <v>13</v>
      </c>
      <c r="U12" s="3755" t="e">
        <f t="shared" si="1"/>
        <v>#DIV/0!</v>
      </c>
      <c r="V12" s="3985" t="s">
        <v>13</v>
      </c>
      <c r="W12" s="3755" t="e">
        <f t="shared" si="2"/>
        <v>#DIV/0!</v>
      </c>
      <c r="X12" s="493"/>
      <c r="Y12" s="4393"/>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419"/>
      <c r="Q13" s="1742" t="str">
        <f t="shared" si="6"/>
        <v>容积率</v>
      </c>
      <c r="R13" s="3985" t="s">
        <v>13</v>
      </c>
      <c r="S13" s="3755" t="e">
        <f t="shared" si="0"/>
        <v>#N/A</v>
      </c>
      <c r="T13" s="3985" t="s">
        <v>13</v>
      </c>
      <c r="U13" s="3755" t="e">
        <f t="shared" si="1"/>
        <v>#N/A</v>
      </c>
      <c r="V13" s="3985" t="s">
        <v>13</v>
      </c>
      <c r="W13" s="3755" t="e">
        <f t="shared" si="2"/>
        <v>#N/A</v>
      </c>
      <c r="X13" s="493"/>
      <c r="Y13" s="4393"/>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419"/>
      <c r="Q14" s="1742" t="str">
        <f t="shared" si="6"/>
        <v>配建</v>
      </c>
      <c r="R14" s="3985" t="s">
        <v>13</v>
      </c>
      <c r="S14" s="3755">
        <f t="shared" si="0"/>
        <v>100</v>
      </c>
      <c r="T14" s="3985" t="s">
        <v>13</v>
      </c>
      <c r="U14" s="3755">
        <f t="shared" si="1"/>
        <v>100</v>
      </c>
      <c r="V14" s="3985" t="s">
        <v>13</v>
      </c>
      <c r="W14" s="3755">
        <f t="shared" si="2"/>
        <v>100</v>
      </c>
      <c r="X14" s="493"/>
      <c r="Y14" s="4393"/>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419"/>
      <c r="Q15" s="1742">
        <f t="shared" si="6"/>
        <v>111</v>
      </c>
      <c r="R15" s="3985" t="s">
        <v>13</v>
      </c>
      <c r="S15" s="3755">
        <f t="shared" si="0"/>
        <v>100</v>
      </c>
      <c r="T15" s="3985" t="s">
        <v>13</v>
      </c>
      <c r="U15" s="3755">
        <f t="shared" si="1"/>
        <v>100</v>
      </c>
      <c r="V15" s="3985" t="s">
        <v>13</v>
      </c>
      <c r="W15" s="3755">
        <f t="shared" si="2"/>
        <v>100</v>
      </c>
      <c r="X15" s="493"/>
      <c r="Y15" s="4393"/>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419"/>
      <c r="Q16" s="1742">
        <f t="shared" si="6"/>
        <v>111</v>
      </c>
      <c r="R16" s="3985" t="s">
        <v>13</v>
      </c>
      <c r="S16" s="3755">
        <f t="shared" si="0"/>
        <v>100</v>
      </c>
      <c r="T16" s="3985" t="s">
        <v>13</v>
      </c>
      <c r="U16" s="3755">
        <f t="shared" si="1"/>
        <v>100</v>
      </c>
      <c r="V16" s="3985" t="s">
        <v>13</v>
      </c>
      <c r="W16" s="3755">
        <f t="shared" si="2"/>
        <v>100</v>
      </c>
      <c r="X16" s="493"/>
      <c r="Y16" s="4393"/>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492" t="s">
        <v>1608</v>
      </c>
      <c r="Q17" s="1544" t="str">
        <f t="shared" si="6"/>
        <v>居住社区成熟度</v>
      </c>
      <c r="R17" s="3986" t="s">
        <v>13</v>
      </c>
      <c r="S17" s="3988">
        <f t="shared" si="0"/>
        <v>100</v>
      </c>
      <c r="T17" s="3986" t="s">
        <v>13</v>
      </c>
      <c r="U17" s="3988">
        <f t="shared" si="1"/>
        <v>100</v>
      </c>
      <c r="V17" s="3986" t="s">
        <v>13</v>
      </c>
      <c r="W17" s="3988">
        <f t="shared" si="2"/>
        <v>100</v>
      </c>
      <c r="X17" s="946"/>
      <c r="Y17" s="4421"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493"/>
      <c r="Q18" s="1544"/>
      <c r="R18" s="3986"/>
      <c r="S18" s="3988"/>
      <c r="T18" s="3986"/>
      <c r="U18" s="3988"/>
      <c r="V18" s="3986"/>
      <c r="W18" s="3988"/>
      <c r="X18" s="946"/>
      <c r="Y18" s="4422"/>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493"/>
      <c r="Q19" s="1544" t="str">
        <f>B19</f>
        <v>商业繁华度</v>
      </c>
      <c r="R19" s="3986" t="s">
        <v>13</v>
      </c>
      <c r="S19" s="3988">
        <f>F19</f>
        <v>100</v>
      </c>
      <c r="T19" s="3986" t="s">
        <v>13</v>
      </c>
      <c r="U19" s="3988">
        <f>H19</f>
        <v>100</v>
      </c>
      <c r="V19" s="3986" t="s">
        <v>13</v>
      </c>
      <c r="W19" s="3988">
        <f>J19</f>
        <v>100</v>
      </c>
      <c r="X19" s="946"/>
      <c r="Y19" s="4422"/>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493"/>
      <c r="Q20" s="1544"/>
      <c r="R20" s="3986"/>
      <c r="S20" s="3988"/>
      <c r="T20" s="3986"/>
      <c r="U20" s="3988"/>
      <c r="V20" s="3986"/>
      <c r="W20" s="3988"/>
      <c r="X20" s="946"/>
      <c r="Y20" s="4422"/>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493"/>
      <c r="Q21" s="1544" t="str">
        <f>B21</f>
        <v>办公集聚程度</v>
      </c>
      <c r="R21" s="3986" t="s">
        <v>13</v>
      </c>
      <c r="S21" s="3988">
        <f>F21</f>
        <v>100</v>
      </c>
      <c r="T21" s="3986" t="s">
        <v>13</v>
      </c>
      <c r="U21" s="3988">
        <f>H21</f>
        <v>100</v>
      </c>
      <c r="V21" s="3986" t="s">
        <v>13</v>
      </c>
      <c r="W21" s="3988">
        <f>J21</f>
        <v>100</v>
      </c>
      <c r="X21" s="946"/>
      <c r="Y21" s="4422"/>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493"/>
      <c r="Q22" s="1544"/>
      <c r="R22" s="3986"/>
      <c r="S22" s="3988"/>
      <c r="T22" s="3986"/>
      <c r="U22" s="3988"/>
      <c r="V22" s="3986"/>
      <c r="W22" s="3988"/>
      <c r="X22" s="946"/>
      <c r="Y22" s="4422"/>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493"/>
      <c r="Q23" s="1544" t="str">
        <f>B23</f>
        <v>交通便捷度</v>
      </c>
      <c r="R23" s="3986" t="s">
        <v>13</v>
      </c>
      <c r="S23" s="3988">
        <f>F23</f>
        <v>100</v>
      </c>
      <c r="T23" s="3986" t="s">
        <v>13</v>
      </c>
      <c r="U23" s="3988">
        <f>H23</f>
        <v>100</v>
      </c>
      <c r="V23" s="3986" t="s">
        <v>13</v>
      </c>
      <c r="W23" s="3988">
        <f>J23</f>
        <v>100</v>
      </c>
      <c r="X23" s="946"/>
      <c r="Y23" s="4422"/>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493"/>
      <c r="Q24" s="1544"/>
      <c r="R24" s="3986"/>
      <c r="S24" s="3988"/>
      <c r="T24" s="3986"/>
      <c r="U24" s="3988"/>
      <c r="V24" s="3986"/>
      <c r="W24" s="3988"/>
      <c r="X24" s="946"/>
      <c r="Y24" s="4422"/>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493"/>
      <c r="Q25" s="1544" t="str">
        <f t="shared" ref="Q25:Q39" si="8">B25</f>
        <v>区域土地利用方向</v>
      </c>
      <c r="R25" s="3986" t="s">
        <v>13</v>
      </c>
      <c r="S25" s="3988">
        <f>F25</f>
        <v>100</v>
      </c>
      <c r="T25" s="3986" t="s">
        <v>13</v>
      </c>
      <c r="U25" s="3988">
        <f>H25</f>
        <v>100</v>
      </c>
      <c r="V25" s="3986" t="s">
        <v>13</v>
      </c>
      <c r="W25" s="3988">
        <f>J25</f>
        <v>100</v>
      </c>
      <c r="X25" s="946"/>
      <c r="Y25" s="4422"/>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493"/>
      <c r="Q26" s="1544"/>
      <c r="R26" s="3986"/>
      <c r="S26" s="3988"/>
      <c r="T26" s="3986"/>
      <c r="U26" s="3988"/>
      <c r="V26" s="3986"/>
      <c r="W26" s="3988"/>
      <c r="X26" s="946"/>
      <c r="Y26" s="4422"/>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493"/>
      <c r="Q27" s="1544" t="str">
        <f t="shared" si="8"/>
        <v>自然及人文环境状况</v>
      </c>
      <c r="R27" s="3986" t="s">
        <v>13</v>
      </c>
      <c r="S27" s="3988">
        <f>F27</f>
        <v>100</v>
      </c>
      <c r="T27" s="3986" t="s">
        <v>13</v>
      </c>
      <c r="U27" s="3988">
        <f>H27</f>
        <v>100</v>
      </c>
      <c r="V27" s="3986" t="s">
        <v>13</v>
      </c>
      <c r="W27" s="3988">
        <f>J27</f>
        <v>100</v>
      </c>
      <c r="X27" s="946"/>
      <c r="Y27" s="4422"/>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493"/>
      <c r="Q28" s="1544"/>
      <c r="R28" s="3986"/>
      <c r="S28" s="3988"/>
      <c r="T28" s="3986"/>
      <c r="U28" s="3988"/>
      <c r="V28" s="3986"/>
      <c r="W28" s="3988"/>
      <c r="X28" s="946"/>
      <c r="Y28" s="4422"/>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493"/>
      <c r="Q29" s="1742" t="str">
        <f t="shared" si="8"/>
        <v>公共配套设施</v>
      </c>
      <c r="R29" s="3985" t="s">
        <v>13</v>
      </c>
      <c r="S29" s="3755">
        <f>F29</f>
        <v>100</v>
      </c>
      <c r="T29" s="3985" t="s">
        <v>13</v>
      </c>
      <c r="U29" s="3755">
        <f>H29</f>
        <v>100</v>
      </c>
      <c r="V29" s="3985" t="s">
        <v>13</v>
      </c>
      <c r="W29" s="3755">
        <f>J29</f>
        <v>100</v>
      </c>
      <c r="X29" s="493"/>
      <c r="Y29" s="4422"/>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493"/>
      <c r="Q30" s="1742"/>
      <c r="R30" s="3985"/>
      <c r="S30" s="3755"/>
      <c r="T30" s="3985"/>
      <c r="U30" s="3755"/>
      <c r="V30" s="3985"/>
      <c r="W30" s="3755"/>
      <c r="X30" s="493"/>
      <c r="Y30" s="4422"/>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493"/>
      <c r="Q31" s="1742" t="str">
        <f t="shared" ref="Q31" si="9">B31</f>
        <v>基础设施水平</v>
      </c>
      <c r="R31" s="3985" t="s">
        <v>13</v>
      </c>
      <c r="S31" s="3755">
        <f>F31</f>
        <v>100</v>
      </c>
      <c r="T31" s="3985" t="s">
        <v>13</v>
      </c>
      <c r="U31" s="3755">
        <f>H31</f>
        <v>100</v>
      </c>
      <c r="V31" s="3985" t="s">
        <v>13</v>
      </c>
      <c r="W31" s="3755">
        <f>J31</f>
        <v>100</v>
      </c>
      <c r="X31" s="493"/>
      <c r="Y31" s="4422"/>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493"/>
      <c r="Q32" s="1742"/>
      <c r="R32" s="3985"/>
      <c r="S32" s="3755"/>
      <c r="T32" s="3985"/>
      <c r="U32" s="3755"/>
      <c r="V32" s="3985"/>
      <c r="W32" s="3755"/>
      <c r="X32" s="493"/>
      <c r="Y32" s="4422"/>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493"/>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22"/>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493"/>
      <c r="Q34" s="1544" t="str">
        <f t="shared" si="8"/>
        <v>毗邻道路的类型与等级</v>
      </c>
      <c r="R34" s="3986" t="s">
        <v>13</v>
      </c>
      <c r="S34" s="3988">
        <f t="shared" si="10"/>
        <v>100</v>
      </c>
      <c r="T34" s="3986" t="s">
        <v>13</v>
      </c>
      <c r="U34" s="3988">
        <f t="shared" si="11"/>
        <v>100</v>
      </c>
      <c r="V34" s="3986" t="s">
        <v>13</v>
      </c>
      <c r="W34" s="3988">
        <f t="shared" si="12"/>
        <v>100</v>
      </c>
      <c r="X34" s="946"/>
      <c r="Y34" s="4422"/>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493"/>
      <c r="Q35" s="1544"/>
      <c r="R35" s="3986"/>
      <c r="S35" s="3988"/>
      <c r="T35" s="3986"/>
      <c r="U35" s="3988"/>
      <c r="V35" s="3986"/>
      <c r="W35" s="3988"/>
      <c r="X35" s="946"/>
      <c r="Y35" s="4422"/>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493"/>
      <c r="Q36" s="1544" t="str">
        <f t="shared" si="8"/>
        <v>土地级别</v>
      </c>
      <c r="R36" s="3986" t="s">
        <v>13</v>
      </c>
      <c r="S36" s="3988">
        <f t="shared" si="10"/>
        <v>100</v>
      </c>
      <c r="T36" s="3986" t="s">
        <v>13</v>
      </c>
      <c r="U36" s="3988">
        <f t="shared" si="11"/>
        <v>100</v>
      </c>
      <c r="V36" s="3986" t="s">
        <v>13</v>
      </c>
      <c r="W36" s="3988">
        <f t="shared" si="12"/>
        <v>100</v>
      </c>
      <c r="X36" s="946"/>
      <c r="Y36" s="4422"/>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493"/>
      <c r="Q37" s="1544">
        <f t="shared" si="8"/>
        <v>111</v>
      </c>
      <c r="R37" s="3986" t="s">
        <v>13</v>
      </c>
      <c r="S37" s="3988">
        <f t="shared" si="10"/>
        <v>100</v>
      </c>
      <c r="T37" s="3986" t="s">
        <v>13</v>
      </c>
      <c r="U37" s="3988">
        <f t="shared" si="11"/>
        <v>100</v>
      </c>
      <c r="V37" s="3986" t="s">
        <v>13</v>
      </c>
      <c r="W37" s="3988">
        <f t="shared" si="12"/>
        <v>100</v>
      </c>
      <c r="X37" s="946"/>
      <c r="Y37" s="4422"/>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494" t="s">
        <v>1613</v>
      </c>
      <c r="Q38" s="1544">
        <f t="shared" si="8"/>
        <v>111</v>
      </c>
      <c r="R38" s="3986" t="s">
        <v>13</v>
      </c>
      <c r="S38" s="3988">
        <f t="shared" si="10"/>
        <v>100</v>
      </c>
      <c r="T38" s="3986" t="s">
        <v>13</v>
      </c>
      <c r="U38" s="3988">
        <f t="shared" si="11"/>
        <v>100</v>
      </c>
      <c r="V38" s="3986" t="s">
        <v>13</v>
      </c>
      <c r="W38" s="3988">
        <f t="shared" si="12"/>
        <v>100</v>
      </c>
      <c r="X38" s="946"/>
      <c r="Y38" s="4426"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495"/>
      <c r="Q39" s="1544">
        <f t="shared" si="8"/>
        <v>111</v>
      </c>
      <c r="R39" s="3987" t="s">
        <v>13</v>
      </c>
      <c r="S39" s="3989">
        <f t="shared" si="10"/>
        <v>100</v>
      </c>
      <c r="T39" s="3987" t="s">
        <v>13</v>
      </c>
      <c r="U39" s="3989">
        <f t="shared" si="11"/>
        <v>100</v>
      </c>
      <c r="V39" s="3987" t="s">
        <v>13</v>
      </c>
      <c r="W39" s="3989">
        <f t="shared" si="12"/>
        <v>100</v>
      </c>
      <c r="X39" s="494"/>
      <c r="Y39" s="4426"/>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495"/>
      <c r="Q40" s="1544" t="str">
        <f>B40</f>
        <v>宗地面积</v>
      </c>
      <c r="R40" s="3986" t="s">
        <v>13</v>
      </c>
      <c r="S40" s="3988" t="e">
        <f t="shared" si="10"/>
        <v>#N/A</v>
      </c>
      <c r="T40" s="3986" t="s">
        <v>13</v>
      </c>
      <c r="U40" s="3988" t="e">
        <f t="shared" si="11"/>
        <v>#N/A</v>
      </c>
      <c r="V40" s="3986" t="s">
        <v>13</v>
      </c>
      <c r="W40" s="3988" t="e">
        <f t="shared" si="12"/>
        <v>#N/A</v>
      </c>
      <c r="X40" s="946"/>
      <c r="Y40" s="4426"/>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495"/>
      <c r="Q41" s="1544" t="str">
        <f t="shared" ref="Q41:Q47" si="14">B41</f>
        <v>宗地形状</v>
      </c>
      <c r="R41" s="3986" t="s">
        <v>13</v>
      </c>
      <c r="S41" s="3988">
        <f t="shared" si="10"/>
        <v>100</v>
      </c>
      <c r="T41" s="3986" t="s">
        <v>13</v>
      </c>
      <c r="U41" s="3988">
        <f t="shared" si="11"/>
        <v>100</v>
      </c>
      <c r="V41" s="3986" t="s">
        <v>13</v>
      </c>
      <c r="W41" s="3988">
        <f t="shared" si="12"/>
        <v>100</v>
      </c>
      <c r="X41" s="946"/>
      <c r="Y41" s="4426"/>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495"/>
      <c r="Q42" s="1544" t="str">
        <f t="shared" si="14"/>
        <v>临街宽度及深度</v>
      </c>
      <c r="R42" s="3986" t="s">
        <v>13</v>
      </c>
      <c r="S42" s="3988">
        <f t="shared" si="10"/>
        <v>100</v>
      </c>
      <c r="T42" s="3986" t="s">
        <v>13</v>
      </c>
      <c r="U42" s="3988">
        <f t="shared" si="11"/>
        <v>100</v>
      </c>
      <c r="V42" s="3986" t="s">
        <v>13</v>
      </c>
      <c r="W42" s="3988">
        <f t="shared" si="12"/>
        <v>100</v>
      </c>
      <c r="X42" s="946"/>
      <c r="Y42" s="4426"/>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495"/>
      <c r="Q43" s="1544" t="str">
        <f t="shared" si="14"/>
        <v>宗地开发程度</v>
      </c>
      <c r="R43" s="3985" t="s">
        <v>13</v>
      </c>
      <c r="S43" s="3755">
        <f t="shared" si="10"/>
        <v>100</v>
      </c>
      <c r="T43" s="3985" t="s">
        <v>13</v>
      </c>
      <c r="U43" s="3755">
        <f t="shared" si="11"/>
        <v>100</v>
      </c>
      <c r="V43" s="3985" t="s">
        <v>13</v>
      </c>
      <c r="W43" s="3755">
        <f t="shared" si="12"/>
        <v>100</v>
      </c>
      <c r="X43" s="493"/>
      <c r="Y43" s="4426"/>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495" t="s">
        <v>1613</v>
      </c>
      <c r="Q44" s="1544" t="str">
        <f t="shared" si="14"/>
        <v>工程地质条件</v>
      </c>
      <c r="R44" s="3986" t="s">
        <v>13</v>
      </c>
      <c r="S44" s="3988">
        <f t="shared" si="10"/>
        <v>100</v>
      </c>
      <c r="T44" s="3986" t="s">
        <v>13</v>
      </c>
      <c r="U44" s="3988">
        <f t="shared" si="11"/>
        <v>100</v>
      </c>
      <c r="V44" s="3986" t="s">
        <v>13</v>
      </c>
      <c r="W44" s="3988">
        <f t="shared" si="12"/>
        <v>100</v>
      </c>
      <c r="X44" s="946"/>
      <c r="Y44" s="4426"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495"/>
      <c r="Q45" s="1544">
        <f t="shared" si="14"/>
        <v>111</v>
      </c>
      <c r="R45" s="3986" t="s">
        <v>13</v>
      </c>
      <c r="S45" s="3988">
        <f t="shared" si="10"/>
        <v>100</v>
      </c>
      <c r="T45" s="3986" t="s">
        <v>13</v>
      </c>
      <c r="U45" s="3988">
        <f t="shared" si="11"/>
        <v>100</v>
      </c>
      <c r="V45" s="3986" t="s">
        <v>13</v>
      </c>
      <c r="W45" s="3988">
        <f t="shared" si="12"/>
        <v>100</v>
      </c>
      <c r="X45" s="946"/>
      <c r="Y45" s="4426"/>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495"/>
      <c r="Q46" s="1544">
        <f t="shared" si="14"/>
        <v>111</v>
      </c>
      <c r="R46" s="3986" t="s">
        <v>13</v>
      </c>
      <c r="S46" s="3988">
        <f t="shared" si="10"/>
        <v>100</v>
      </c>
      <c r="T46" s="3986" t="s">
        <v>13</v>
      </c>
      <c r="U46" s="3988">
        <f t="shared" si="11"/>
        <v>100</v>
      </c>
      <c r="V46" s="3986" t="s">
        <v>13</v>
      </c>
      <c r="W46" s="3988">
        <f t="shared" si="12"/>
        <v>100</v>
      </c>
      <c r="X46" s="946"/>
      <c r="Y46" s="4426"/>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495"/>
      <c r="Q47" s="1544">
        <f t="shared" si="14"/>
        <v>111</v>
      </c>
      <c r="R47" s="3987" t="s">
        <v>13</v>
      </c>
      <c r="S47" s="3989">
        <f t="shared" si="10"/>
        <v>100</v>
      </c>
      <c r="T47" s="3987" t="s">
        <v>13</v>
      </c>
      <c r="U47" s="3989">
        <f t="shared" si="11"/>
        <v>100</v>
      </c>
      <c r="V47" s="3987" t="s">
        <v>13</v>
      </c>
      <c r="W47" s="3989">
        <f t="shared" si="12"/>
        <v>100</v>
      </c>
      <c r="X47" s="494"/>
      <c r="Y47" s="4426"/>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419" t="str">
        <f>A48</f>
        <v>成交单价</v>
      </c>
      <c r="Q48" s="4419"/>
      <c r="R48" s="4420">
        <f>E48</f>
        <v>0</v>
      </c>
      <c r="S48" s="4420"/>
      <c r="T48" s="4420">
        <f>G48</f>
        <v>0</v>
      </c>
      <c r="U48" s="4420"/>
      <c r="V48" s="4420">
        <f>I48</f>
        <v>0</v>
      </c>
      <c r="W48" s="4420"/>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419" t="str">
        <f>A49</f>
        <v>比较价值（元/平方米）</v>
      </c>
      <c r="Q49" s="4419"/>
      <c r="R49" s="4420" t="e">
        <f>ROUND(PRODUCT(R48,AA9:AA47),0)</f>
        <v>#DIV/0!</v>
      </c>
      <c r="S49" s="4420"/>
      <c r="T49" s="4420" t="e">
        <f>ROUND(PRODUCT(T48,AB9:AB47),0)</f>
        <v>#DIV/0!</v>
      </c>
      <c r="U49" s="4420"/>
      <c r="V49" s="4420" t="e">
        <f>ROUND(PRODUCT(V48,AC9:AC47),0)</f>
        <v>#DIV/0!</v>
      </c>
      <c r="W49" s="4420"/>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416" t="str">
        <f>A50</f>
        <v>估价对象XX用房的比较价值（楼面单价，元/平方米）</v>
      </c>
      <c r="Q50" s="4417"/>
      <c r="R50" s="4418" t="e">
        <f>ROUND(IF(D49="简单平均",AVERAGE(R49:W49),R49*F49+T49*H49+V49*J49),0)</f>
        <v>#DIV/0!</v>
      </c>
      <c r="S50" s="4418"/>
      <c r="T50" s="4418"/>
      <c r="U50" s="4418"/>
      <c r="V50" s="4418"/>
      <c r="W50" s="4418"/>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77" t="s">
        <v>1804</v>
      </c>
      <c r="H57" s="4509"/>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87.55</v>
      </c>
      <c r="F58" s="3257" t="e">
        <f t="shared" ref="F58:F66" si="15">ROUND(B58*E58/10000,0)</f>
        <v>#DIV/0!</v>
      </c>
      <c r="G58" s="4510"/>
      <c r="H58" s="4497"/>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0.2</v>
      </c>
      <c r="D64" s="3237">
        <v>0.25</v>
      </c>
      <c r="E64" s="3240">
        <f>'数据-汇总表'!E13</f>
        <v>0</v>
      </c>
      <c r="F64" s="3257" t="e">
        <f t="shared" si="15"/>
        <v>#DIV/0!</v>
      </c>
      <c r="G64" s="3250" t="s">
        <v>1817</v>
      </c>
      <c r="H64" s="602" t="str">
        <f>IF(G64="商业",项目基本情况!B37,IF(G64="办公",项目基本情况!C37,IF(G64="住宅",项目基本情况!D37,项目基本情况!E37)))</f>
        <v>二级</v>
      </c>
      <c r="I64" s="3252">
        <f>SUMIF(修正!A59:A70,H64,修正!G59:G70)</f>
        <v>0.2</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87.55</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2026-3-1</v>
      </c>
      <c r="D69" s="485">
        <f>EDATE(C69,-3)</f>
        <v>45992</v>
      </c>
      <c r="E69" s="485">
        <f>EDATE(D69,-3)</f>
        <v>45901</v>
      </c>
      <c r="F69" s="485">
        <f t="shared" ref="F69:O69" si="18">EDATE(E69,-3)</f>
        <v>45809</v>
      </c>
      <c r="G69" s="485">
        <f t="shared" si="18"/>
        <v>45717</v>
      </c>
      <c r="H69" s="485">
        <f t="shared" si="18"/>
        <v>45627</v>
      </c>
      <c r="I69" s="485">
        <f t="shared" si="18"/>
        <v>45536</v>
      </c>
      <c r="J69" s="485">
        <f t="shared" si="18"/>
        <v>45444</v>
      </c>
      <c r="K69" s="3304">
        <f t="shared" si="18"/>
        <v>45352</v>
      </c>
      <c r="L69" s="485">
        <f t="shared" si="18"/>
        <v>45261</v>
      </c>
      <c r="M69" s="485">
        <f t="shared" si="18"/>
        <v>45170</v>
      </c>
      <c r="N69" s="485">
        <f t="shared" si="18"/>
        <v>45078</v>
      </c>
      <c r="O69" s="485">
        <f t="shared" si="18"/>
        <v>44986</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47" priority="13" stopIfTrue="1">
      <formula>$F$53="超过30%"</formula>
    </cfRule>
  </conditionalFormatting>
  <conditionalFormatting sqref="E54">
    <cfRule type="expression" dxfId="46" priority="11" stopIfTrue="1">
      <formula>$F$54="超过20%"</formula>
    </cfRule>
  </conditionalFormatting>
  <conditionalFormatting sqref="E55">
    <cfRule type="expression" dxfId="45" priority="10" stopIfTrue="1">
      <formula>$F$55="超过30%"</formula>
    </cfRule>
  </conditionalFormatting>
  <conditionalFormatting sqref="F9:F47 H9:H47 J9:J47">
    <cfRule type="cellIs" dxfId="44" priority="1" operator="notEqual">
      <formula>100</formula>
    </cfRule>
  </conditionalFormatting>
  <conditionalFormatting sqref="F49">
    <cfRule type="expression" dxfId="43" priority="4">
      <formula>$D$49="简单平均"</formula>
    </cfRule>
  </conditionalFormatting>
  <conditionalFormatting sqref="F53:F55 H53:H55 J53:J55">
    <cfRule type="containsText" dxfId="42" priority="14" stopIfTrue="1" operator="containsText" text="超过">
      <formula>NOT(ISERROR(SEARCH("超过",F53)))</formula>
    </cfRule>
  </conditionalFormatting>
  <conditionalFormatting sqref="G53">
    <cfRule type="expression" dxfId="41" priority="9" stopIfTrue="1">
      <formula>$H$55+$H$53="超过30%"</formula>
    </cfRule>
  </conditionalFormatting>
  <conditionalFormatting sqref="G54">
    <cfRule type="expression" dxfId="40" priority="8" stopIfTrue="1">
      <formula>$H$54="超过20%"</formula>
    </cfRule>
  </conditionalFormatting>
  <conditionalFormatting sqref="G55">
    <cfRule type="expression" dxfId="39" priority="12" stopIfTrue="1">
      <formula>$H$55="超过30%"</formula>
    </cfRule>
  </conditionalFormatting>
  <conditionalFormatting sqref="H49">
    <cfRule type="expression" dxfId="38" priority="3">
      <formula>$D$49="简单平均"</formula>
    </cfRule>
  </conditionalFormatting>
  <conditionalFormatting sqref="I53">
    <cfRule type="expression" dxfId="37" priority="7" stopIfTrue="1">
      <formula>$J$53="超过30%"</formula>
    </cfRule>
  </conditionalFormatting>
  <conditionalFormatting sqref="I54">
    <cfRule type="expression" dxfId="36" priority="6" stopIfTrue="1">
      <formula>$J$54="超过20%"</formula>
    </cfRule>
  </conditionalFormatting>
  <conditionalFormatting sqref="I55">
    <cfRule type="expression" dxfId="35" priority="5" stopIfTrue="1">
      <formula>$J$55="超过30%"</formula>
    </cfRule>
  </conditionalFormatting>
  <conditionalFormatting sqref="J49">
    <cfRule type="expression" dxfId="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394" t="s">
        <v>1687</v>
      </c>
      <c r="D6" s="4395"/>
      <c r="E6" s="4396" t="s">
        <v>1688</v>
      </c>
      <c r="F6" s="4397"/>
      <c r="G6" s="4394" t="s">
        <v>1689</v>
      </c>
      <c r="H6" s="4395"/>
      <c r="I6" s="4394" t="s">
        <v>1690</v>
      </c>
      <c r="J6" s="4395"/>
      <c r="K6" s="397" t="s">
        <v>1691</v>
      </c>
      <c r="L6" s="2020"/>
      <c r="M6" s="2021"/>
      <c r="N6" s="2021"/>
      <c r="O6" s="2021"/>
      <c r="P6" s="4398" t="s">
        <v>1692</v>
      </c>
      <c r="Q6" s="4399"/>
      <c r="R6" s="4379" t="s">
        <v>1688</v>
      </c>
      <c r="S6" s="4380"/>
      <c r="T6" s="4379" t="s">
        <v>1689</v>
      </c>
      <c r="U6" s="4380"/>
      <c r="V6" s="4406" t="s">
        <v>1690</v>
      </c>
      <c r="W6" s="4406"/>
      <c r="X6" s="946"/>
      <c r="Y6" s="4409" t="s">
        <v>1692</v>
      </c>
      <c r="Z6" s="4410"/>
      <c r="AA6" s="4374" t="s">
        <v>1688</v>
      </c>
      <c r="AB6" s="4375" t="s">
        <v>1689</v>
      </c>
      <c r="AC6" s="4374" t="s">
        <v>1690</v>
      </c>
    </row>
    <row r="7" spans="1:29">
      <c r="A7" s="3268"/>
      <c r="B7" s="3333"/>
      <c r="C7" s="4385" t="s">
        <v>1590</v>
      </c>
      <c r="D7" s="4386"/>
      <c r="E7" s="4383" t="s">
        <v>1591</v>
      </c>
      <c r="F7" s="4384"/>
      <c r="G7" s="4385" t="s">
        <v>1592</v>
      </c>
      <c r="H7" s="4386"/>
      <c r="I7" s="4385" t="s">
        <v>1593</v>
      </c>
      <c r="J7" s="4386"/>
      <c r="K7" s="397"/>
      <c r="L7" s="2020"/>
      <c r="M7" s="2021"/>
      <c r="N7" s="2021"/>
      <c r="O7" s="2021"/>
      <c r="P7" s="4400"/>
      <c r="Q7" s="4401"/>
      <c r="R7" s="4381"/>
      <c r="S7" s="4382"/>
      <c r="T7" s="4381"/>
      <c r="U7" s="4382"/>
      <c r="V7" s="4406"/>
      <c r="W7" s="4406"/>
      <c r="X7" s="946"/>
      <c r="Y7" s="4411"/>
      <c r="Z7" s="4412"/>
      <c r="AA7" s="4375"/>
      <c r="AB7" s="4375"/>
      <c r="AC7" s="4375"/>
    </row>
    <row r="8" spans="1:29" ht="15" thickBot="1">
      <c r="A8" s="3334"/>
      <c r="B8" s="3335"/>
      <c r="C8" s="4511" t="s">
        <v>1836</v>
      </c>
      <c r="D8" s="4512"/>
      <c r="E8" s="4513" t="s">
        <v>1836</v>
      </c>
      <c r="F8" s="4514"/>
      <c r="G8" s="4511" t="s">
        <v>1836</v>
      </c>
      <c r="H8" s="4512"/>
      <c r="I8" s="4511" t="s">
        <v>1836</v>
      </c>
      <c r="J8" s="4512"/>
      <c r="K8" s="397" t="s">
        <v>1595</v>
      </c>
      <c r="L8" s="2020"/>
      <c r="M8" s="2021"/>
      <c r="N8" s="2021"/>
      <c r="O8" s="2021"/>
      <c r="P8" s="4402"/>
      <c r="Q8" s="4403"/>
      <c r="R8" s="4381"/>
      <c r="S8" s="4382"/>
      <c r="T8" s="4404"/>
      <c r="U8" s="4405"/>
      <c r="V8" s="4406"/>
      <c r="W8" s="4406"/>
      <c r="X8" s="946"/>
      <c r="Y8" s="4413"/>
      <c r="Z8" s="4414"/>
      <c r="AA8" s="4376"/>
      <c r="AB8" s="4376"/>
      <c r="AC8" s="4376"/>
    </row>
    <row r="9" spans="1:29" s="46" customFormat="1" ht="15" thickBot="1">
      <c r="A9" s="3260" t="s">
        <v>1596</v>
      </c>
      <c r="B9" s="3261"/>
      <c r="C9" s="2935">
        <f>'数据-取费表'!B2</f>
        <v>46100</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07" t="s">
        <v>1597</v>
      </c>
      <c r="Q9" s="4415"/>
      <c r="R9" s="3985" t="s">
        <v>13</v>
      </c>
      <c r="S9" s="3755">
        <f t="shared" ref="S9:S17" si="0">F9</f>
        <v>0</v>
      </c>
      <c r="T9" s="3985" t="s">
        <v>13</v>
      </c>
      <c r="U9" s="3755">
        <f t="shared" ref="U9:U17" si="1">H9</f>
        <v>0</v>
      </c>
      <c r="V9" s="3985" t="s">
        <v>13</v>
      </c>
      <c r="W9" s="3755">
        <f t="shared" ref="W9:W17" si="2">J9</f>
        <v>0</v>
      </c>
      <c r="X9" s="493"/>
      <c r="Y9" s="4377" t="s">
        <v>1597</v>
      </c>
      <c r="Z9" s="4378"/>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07" t="s">
        <v>1600</v>
      </c>
      <c r="Q10" s="4408"/>
      <c r="R10" s="3985" t="s">
        <v>13</v>
      </c>
      <c r="S10" s="3755">
        <f t="shared" si="0"/>
        <v>0</v>
      </c>
      <c r="T10" s="3985" t="s">
        <v>13</v>
      </c>
      <c r="U10" s="3755">
        <f t="shared" si="1"/>
        <v>0</v>
      </c>
      <c r="V10" s="3985" t="s">
        <v>13</v>
      </c>
      <c r="W10" s="3755">
        <f t="shared" si="2"/>
        <v>0</v>
      </c>
      <c r="X10" s="493"/>
      <c r="Y10" s="4377" t="s">
        <v>1600</v>
      </c>
      <c r="Z10" s="4378"/>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419" t="s">
        <v>1603</v>
      </c>
      <c r="Q11" s="1742" t="str">
        <f t="shared" ref="Q11:Q17" si="6">B11</f>
        <v>用途</v>
      </c>
      <c r="R11" s="3985" t="s">
        <v>13</v>
      </c>
      <c r="S11" s="3755">
        <f t="shared" si="0"/>
        <v>100</v>
      </c>
      <c r="T11" s="3985" t="s">
        <v>13</v>
      </c>
      <c r="U11" s="3755">
        <f t="shared" si="1"/>
        <v>100</v>
      </c>
      <c r="V11" s="3985" t="s">
        <v>13</v>
      </c>
      <c r="W11" s="3755">
        <f t="shared" si="2"/>
        <v>100</v>
      </c>
      <c r="X11" s="493"/>
      <c r="Y11" s="4393"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419"/>
      <c r="Q12" s="1742" t="str">
        <f t="shared" si="6"/>
        <v>土地使用年限（年）</v>
      </c>
      <c r="R12" s="3985" t="s">
        <v>13</v>
      </c>
      <c r="S12" s="3755" t="e">
        <f t="shared" si="0"/>
        <v>#DIV/0!</v>
      </c>
      <c r="T12" s="3985" t="s">
        <v>13</v>
      </c>
      <c r="U12" s="3755" t="e">
        <f t="shared" si="1"/>
        <v>#DIV/0!</v>
      </c>
      <c r="V12" s="3985" t="s">
        <v>13</v>
      </c>
      <c r="W12" s="3755" t="e">
        <f t="shared" si="2"/>
        <v>#DIV/0!</v>
      </c>
      <c r="X12" s="493"/>
      <c r="Y12" s="4393"/>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419"/>
      <c r="Q13" s="1742" t="str">
        <f t="shared" si="6"/>
        <v>容积率</v>
      </c>
      <c r="R13" s="3985" t="s">
        <v>13</v>
      </c>
      <c r="S13" s="3755" t="e">
        <f t="shared" si="0"/>
        <v>#N/A</v>
      </c>
      <c r="T13" s="3985" t="s">
        <v>13</v>
      </c>
      <c r="U13" s="3755" t="e">
        <f t="shared" si="1"/>
        <v>#N/A</v>
      </c>
      <c r="V13" s="3985" t="s">
        <v>13</v>
      </c>
      <c r="W13" s="3755" t="e">
        <f t="shared" si="2"/>
        <v>#N/A</v>
      </c>
      <c r="X13" s="493"/>
      <c r="Y13" s="4393"/>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419"/>
      <c r="Q14" s="1742">
        <f t="shared" si="6"/>
        <v>111</v>
      </c>
      <c r="R14" s="3985" t="s">
        <v>13</v>
      </c>
      <c r="S14" s="3755">
        <f t="shared" si="0"/>
        <v>100</v>
      </c>
      <c r="T14" s="3985" t="s">
        <v>13</v>
      </c>
      <c r="U14" s="3755">
        <f t="shared" si="1"/>
        <v>100</v>
      </c>
      <c r="V14" s="3985" t="s">
        <v>13</v>
      </c>
      <c r="W14" s="3755">
        <f t="shared" si="2"/>
        <v>100</v>
      </c>
      <c r="X14" s="493"/>
      <c r="Y14" s="4393"/>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419"/>
      <c r="Q15" s="1742">
        <f t="shared" si="6"/>
        <v>111</v>
      </c>
      <c r="R15" s="3985" t="s">
        <v>13</v>
      </c>
      <c r="S15" s="3755">
        <f t="shared" si="0"/>
        <v>100</v>
      </c>
      <c r="T15" s="3985" t="s">
        <v>13</v>
      </c>
      <c r="U15" s="3755">
        <f t="shared" si="1"/>
        <v>100</v>
      </c>
      <c r="V15" s="3985" t="s">
        <v>13</v>
      </c>
      <c r="W15" s="3755">
        <f t="shared" si="2"/>
        <v>100</v>
      </c>
      <c r="X15" s="493"/>
      <c r="Y15" s="4393"/>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419"/>
      <c r="Q16" s="1742">
        <f t="shared" si="6"/>
        <v>111</v>
      </c>
      <c r="R16" s="3985" t="s">
        <v>13</v>
      </c>
      <c r="S16" s="3755">
        <f t="shared" si="0"/>
        <v>100</v>
      </c>
      <c r="T16" s="3985" t="s">
        <v>13</v>
      </c>
      <c r="U16" s="3755">
        <f t="shared" si="1"/>
        <v>100</v>
      </c>
      <c r="V16" s="3985" t="s">
        <v>13</v>
      </c>
      <c r="W16" s="3755">
        <f t="shared" si="2"/>
        <v>100</v>
      </c>
      <c r="X16" s="493"/>
      <c r="Y16" s="4393"/>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492" t="s">
        <v>1608</v>
      </c>
      <c r="Q17" s="1544" t="str">
        <f t="shared" si="6"/>
        <v>产业集聚程度</v>
      </c>
      <c r="R17" s="3986" t="s">
        <v>13</v>
      </c>
      <c r="S17" s="3988">
        <f t="shared" si="0"/>
        <v>100</v>
      </c>
      <c r="T17" s="3986" t="s">
        <v>13</v>
      </c>
      <c r="U17" s="3988">
        <f t="shared" si="1"/>
        <v>100</v>
      </c>
      <c r="V17" s="3986" t="s">
        <v>13</v>
      </c>
      <c r="W17" s="3988">
        <f t="shared" si="2"/>
        <v>100</v>
      </c>
      <c r="X17" s="946"/>
      <c r="Y17" s="4421"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493"/>
      <c r="Q18" s="1544"/>
      <c r="R18" s="3986"/>
      <c r="S18" s="3988"/>
      <c r="T18" s="3986"/>
      <c r="U18" s="3988"/>
      <c r="V18" s="3986"/>
      <c r="W18" s="3988"/>
      <c r="X18" s="946"/>
      <c r="Y18" s="4422"/>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493"/>
      <c r="Q19" s="1544" t="str">
        <f>B19</f>
        <v>交通便捷度</v>
      </c>
      <c r="R19" s="3986" t="s">
        <v>13</v>
      </c>
      <c r="S19" s="3988">
        <f>F19</f>
        <v>100</v>
      </c>
      <c r="T19" s="3986" t="s">
        <v>13</v>
      </c>
      <c r="U19" s="3988">
        <f>H19</f>
        <v>100</v>
      </c>
      <c r="V19" s="3986" t="s">
        <v>13</v>
      </c>
      <c r="W19" s="3988">
        <f>J19</f>
        <v>100</v>
      </c>
      <c r="X19" s="946"/>
      <c r="Y19" s="4422"/>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493"/>
      <c r="Q20" s="1544"/>
      <c r="R20" s="3986"/>
      <c r="S20" s="3988"/>
      <c r="T20" s="3986"/>
      <c r="U20" s="3988"/>
      <c r="V20" s="3986"/>
      <c r="W20" s="3988"/>
      <c r="X20" s="946"/>
      <c r="Y20" s="4422"/>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493"/>
      <c r="Q21" s="1544" t="str">
        <f t="shared" ref="Q21:Q35" si="8">B21</f>
        <v>区域土地利用方向</v>
      </c>
      <c r="R21" s="3986" t="s">
        <v>13</v>
      </c>
      <c r="S21" s="3988">
        <f>F21</f>
        <v>100</v>
      </c>
      <c r="T21" s="3986" t="s">
        <v>13</v>
      </c>
      <c r="U21" s="3988">
        <f>H21</f>
        <v>100</v>
      </c>
      <c r="V21" s="3986" t="s">
        <v>13</v>
      </c>
      <c r="W21" s="3988">
        <f>J21</f>
        <v>100</v>
      </c>
      <c r="X21" s="946"/>
      <c r="Y21" s="4422"/>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493"/>
      <c r="Q22" s="1544"/>
      <c r="R22" s="3986"/>
      <c r="S22" s="3988"/>
      <c r="T22" s="3986"/>
      <c r="U22" s="3988"/>
      <c r="V22" s="3986"/>
      <c r="W22" s="3988"/>
      <c r="X22" s="946"/>
      <c r="Y22" s="4422"/>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493"/>
      <c r="Q23" s="1544" t="str">
        <f t="shared" si="8"/>
        <v>环境状况</v>
      </c>
      <c r="R23" s="3986" t="s">
        <v>13</v>
      </c>
      <c r="S23" s="3988">
        <f>F23</f>
        <v>100</v>
      </c>
      <c r="T23" s="3986" t="s">
        <v>13</v>
      </c>
      <c r="U23" s="3988">
        <f>H23</f>
        <v>100</v>
      </c>
      <c r="V23" s="3986" t="s">
        <v>13</v>
      </c>
      <c r="W23" s="3988">
        <f>J23</f>
        <v>100</v>
      </c>
      <c r="X23" s="946"/>
      <c r="Y23" s="4422"/>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493"/>
      <c r="Q24" s="1544"/>
      <c r="R24" s="3986"/>
      <c r="S24" s="3988"/>
      <c r="T24" s="3986"/>
      <c r="U24" s="3988"/>
      <c r="V24" s="3986"/>
      <c r="W24" s="3988"/>
      <c r="X24" s="946"/>
      <c r="Y24" s="4422"/>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493"/>
      <c r="Q25" s="1742" t="str">
        <f t="shared" si="8"/>
        <v>公共配套设施</v>
      </c>
      <c r="R25" s="3985" t="s">
        <v>13</v>
      </c>
      <c r="S25" s="3755">
        <f>F25</f>
        <v>100</v>
      </c>
      <c r="T25" s="3985" t="s">
        <v>13</v>
      </c>
      <c r="U25" s="3755">
        <f>H25</f>
        <v>100</v>
      </c>
      <c r="V25" s="3985" t="s">
        <v>13</v>
      </c>
      <c r="W25" s="3755">
        <f>J25</f>
        <v>100</v>
      </c>
      <c r="X25" s="493"/>
      <c r="Y25" s="4422"/>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493"/>
      <c r="Q26" s="1742"/>
      <c r="R26" s="3985"/>
      <c r="S26" s="3755"/>
      <c r="T26" s="3985"/>
      <c r="U26" s="3755"/>
      <c r="V26" s="3985"/>
      <c r="W26" s="3755"/>
      <c r="X26" s="493"/>
      <c r="Y26" s="4422"/>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493"/>
      <c r="Q27" s="1742" t="str">
        <f t="shared" ref="Q27" si="9">B27</f>
        <v>基础设施水平</v>
      </c>
      <c r="R27" s="3985" t="s">
        <v>13</v>
      </c>
      <c r="S27" s="3755">
        <f>F27</f>
        <v>100</v>
      </c>
      <c r="T27" s="3985" t="s">
        <v>13</v>
      </c>
      <c r="U27" s="3755">
        <f>H27</f>
        <v>100</v>
      </c>
      <c r="V27" s="3985" t="s">
        <v>13</v>
      </c>
      <c r="W27" s="3755">
        <f>J27</f>
        <v>100</v>
      </c>
      <c r="X27" s="493"/>
      <c r="Y27" s="4422"/>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493"/>
      <c r="Q28" s="1742"/>
      <c r="R28" s="3985"/>
      <c r="S28" s="3755"/>
      <c r="T28" s="3985"/>
      <c r="U28" s="3755"/>
      <c r="V28" s="3985"/>
      <c r="W28" s="3755"/>
      <c r="X28" s="493"/>
      <c r="Y28" s="4422"/>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493"/>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22"/>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493"/>
      <c r="Q30" s="1544" t="str">
        <f t="shared" si="8"/>
        <v>毗邻道路的类型与等级</v>
      </c>
      <c r="R30" s="3986" t="s">
        <v>13</v>
      </c>
      <c r="S30" s="3988">
        <f t="shared" si="10"/>
        <v>100</v>
      </c>
      <c r="T30" s="3986" t="s">
        <v>13</v>
      </c>
      <c r="U30" s="3988">
        <f t="shared" si="11"/>
        <v>100</v>
      </c>
      <c r="V30" s="3986" t="s">
        <v>13</v>
      </c>
      <c r="W30" s="3988">
        <f t="shared" si="12"/>
        <v>100</v>
      </c>
      <c r="X30" s="946"/>
      <c r="Y30" s="4422"/>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493"/>
      <c r="Q31" s="1544"/>
      <c r="R31" s="3986"/>
      <c r="S31" s="3988"/>
      <c r="T31" s="3986"/>
      <c r="U31" s="3988"/>
      <c r="V31" s="3986"/>
      <c r="W31" s="3988"/>
      <c r="X31" s="946"/>
      <c r="Y31" s="4422"/>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493"/>
      <c r="Q32" s="1544" t="str">
        <f t="shared" si="8"/>
        <v>土地级别</v>
      </c>
      <c r="R32" s="3986" t="s">
        <v>13</v>
      </c>
      <c r="S32" s="3988">
        <f t="shared" si="10"/>
        <v>100</v>
      </c>
      <c r="T32" s="3986" t="s">
        <v>13</v>
      </c>
      <c r="U32" s="3988">
        <f t="shared" si="11"/>
        <v>100</v>
      </c>
      <c r="V32" s="3986" t="s">
        <v>13</v>
      </c>
      <c r="W32" s="3988">
        <f t="shared" si="12"/>
        <v>100</v>
      </c>
      <c r="X32" s="946"/>
      <c r="Y32" s="4422"/>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493"/>
      <c r="Q33" s="1544">
        <f t="shared" si="8"/>
        <v>111</v>
      </c>
      <c r="R33" s="3986" t="s">
        <v>13</v>
      </c>
      <c r="S33" s="3988">
        <f t="shared" si="10"/>
        <v>100</v>
      </c>
      <c r="T33" s="3986" t="s">
        <v>13</v>
      </c>
      <c r="U33" s="3988">
        <f t="shared" si="11"/>
        <v>100</v>
      </c>
      <c r="V33" s="3986" t="s">
        <v>13</v>
      </c>
      <c r="W33" s="3988">
        <f t="shared" si="12"/>
        <v>100</v>
      </c>
      <c r="X33" s="946"/>
      <c r="Y33" s="4422"/>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494" t="s">
        <v>1613</v>
      </c>
      <c r="Q34" s="1544">
        <f t="shared" si="8"/>
        <v>111</v>
      </c>
      <c r="R34" s="3986" t="s">
        <v>13</v>
      </c>
      <c r="S34" s="3988">
        <f t="shared" si="10"/>
        <v>100</v>
      </c>
      <c r="T34" s="3986" t="s">
        <v>13</v>
      </c>
      <c r="U34" s="3988">
        <f t="shared" si="11"/>
        <v>100</v>
      </c>
      <c r="V34" s="3986" t="s">
        <v>13</v>
      </c>
      <c r="W34" s="3988">
        <f t="shared" si="12"/>
        <v>100</v>
      </c>
      <c r="X34" s="946"/>
      <c r="Y34" s="4426"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495"/>
      <c r="Q35" s="1544">
        <f t="shared" si="8"/>
        <v>111</v>
      </c>
      <c r="R35" s="3987" t="s">
        <v>13</v>
      </c>
      <c r="S35" s="3989">
        <f t="shared" si="10"/>
        <v>100</v>
      </c>
      <c r="T35" s="3987" t="s">
        <v>13</v>
      </c>
      <c r="U35" s="3989">
        <f t="shared" si="11"/>
        <v>100</v>
      </c>
      <c r="V35" s="3987" t="s">
        <v>13</v>
      </c>
      <c r="W35" s="3989">
        <f t="shared" si="12"/>
        <v>100</v>
      </c>
      <c r="X35" s="494"/>
      <c r="Y35" s="4426"/>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495"/>
      <c r="Q36" s="1544" t="str">
        <f>B36</f>
        <v>宗地面积</v>
      </c>
      <c r="R36" s="3986" t="s">
        <v>13</v>
      </c>
      <c r="S36" s="3988" t="e">
        <f t="shared" si="10"/>
        <v>#N/A</v>
      </c>
      <c r="T36" s="3986" t="s">
        <v>13</v>
      </c>
      <c r="U36" s="3988" t="e">
        <f t="shared" si="11"/>
        <v>#N/A</v>
      </c>
      <c r="V36" s="3986" t="s">
        <v>13</v>
      </c>
      <c r="W36" s="3988" t="e">
        <f t="shared" si="12"/>
        <v>#N/A</v>
      </c>
      <c r="X36" s="946"/>
      <c r="Y36" s="4426"/>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495"/>
      <c r="Q37" s="1544" t="str">
        <f t="shared" ref="Q37:Q42" si="14">B37</f>
        <v>宗地形状</v>
      </c>
      <c r="R37" s="3986" t="s">
        <v>13</v>
      </c>
      <c r="S37" s="3988">
        <f t="shared" si="10"/>
        <v>100</v>
      </c>
      <c r="T37" s="3986" t="s">
        <v>13</v>
      </c>
      <c r="U37" s="3988">
        <f t="shared" si="11"/>
        <v>100</v>
      </c>
      <c r="V37" s="3986" t="s">
        <v>13</v>
      </c>
      <c r="W37" s="3988">
        <f t="shared" si="12"/>
        <v>100</v>
      </c>
      <c r="X37" s="946"/>
      <c r="Y37" s="4426"/>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495"/>
      <c r="Q38" s="1544" t="str">
        <f t="shared" si="14"/>
        <v>宗地开发程度</v>
      </c>
      <c r="R38" s="3985" t="s">
        <v>13</v>
      </c>
      <c r="S38" s="3755">
        <f t="shared" si="10"/>
        <v>100</v>
      </c>
      <c r="T38" s="3985" t="s">
        <v>13</v>
      </c>
      <c r="U38" s="3755">
        <f t="shared" si="11"/>
        <v>100</v>
      </c>
      <c r="V38" s="3985" t="s">
        <v>13</v>
      </c>
      <c r="W38" s="3755">
        <f t="shared" si="12"/>
        <v>100</v>
      </c>
      <c r="X38" s="493"/>
      <c r="Y38" s="4426"/>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495" t="s">
        <v>1613</v>
      </c>
      <c r="Q39" s="1544" t="str">
        <f t="shared" si="14"/>
        <v>工程地质条件</v>
      </c>
      <c r="R39" s="3986" t="s">
        <v>13</v>
      </c>
      <c r="S39" s="3988">
        <f t="shared" si="10"/>
        <v>100</v>
      </c>
      <c r="T39" s="3986" t="s">
        <v>13</v>
      </c>
      <c r="U39" s="3988">
        <f t="shared" si="11"/>
        <v>100</v>
      </c>
      <c r="V39" s="3986" t="s">
        <v>13</v>
      </c>
      <c r="W39" s="3988">
        <f t="shared" si="12"/>
        <v>100</v>
      </c>
      <c r="X39" s="946"/>
      <c r="Y39" s="4426"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495"/>
      <c r="Q40" s="1544">
        <f t="shared" si="14"/>
        <v>111</v>
      </c>
      <c r="R40" s="3986" t="s">
        <v>13</v>
      </c>
      <c r="S40" s="3988">
        <f t="shared" si="10"/>
        <v>100</v>
      </c>
      <c r="T40" s="3986" t="s">
        <v>13</v>
      </c>
      <c r="U40" s="3988">
        <f t="shared" si="11"/>
        <v>100</v>
      </c>
      <c r="V40" s="3986" t="s">
        <v>13</v>
      </c>
      <c r="W40" s="3988">
        <f t="shared" si="12"/>
        <v>100</v>
      </c>
      <c r="X40" s="946"/>
      <c r="Y40" s="4426"/>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495"/>
      <c r="Q41" s="1544">
        <f t="shared" si="14"/>
        <v>111</v>
      </c>
      <c r="R41" s="3986" t="s">
        <v>13</v>
      </c>
      <c r="S41" s="3988">
        <f t="shared" si="10"/>
        <v>100</v>
      </c>
      <c r="T41" s="3986" t="s">
        <v>13</v>
      </c>
      <c r="U41" s="3988">
        <f t="shared" si="11"/>
        <v>100</v>
      </c>
      <c r="V41" s="3986" t="s">
        <v>13</v>
      </c>
      <c r="W41" s="3988">
        <f t="shared" si="12"/>
        <v>100</v>
      </c>
      <c r="X41" s="946"/>
      <c r="Y41" s="4426"/>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495"/>
      <c r="Q42" s="1544">
        <f t="shared" si="14"/>
        <v>111</v>
      </c>
      <c r="R42" s="3987" t="s">
        <v>13</v>
      </c>
      <c r="S42" s="3989">
        <f t="shared" si="10"/>
        <v>100</v>
      </c>
      <c r="T42" s="3987" t="s">
        <v>13</v>
      </c>
      <c r="U42" s="3989">
        <f t="shared" si="11"/>
        <v>100</v>
      </c>
      <c r="V42" s="3987" t="s">
        <v>13</v>
      </c>
      <c r="W42" s="3989">
        <f t="shared" si="12"/>
        <v>100</v>
      </c>
      <c r="X42" s="494"/>
      <c r="Y42" s="4426"/>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419" t="str">
        <f>A43</f>
        <v>成交单价</v>
      </c>
      <c r="Q43" s="4419"/>
      <c r="R43" s="4420">
        <f>E43</f>
        <v>0</v>
      </c>
      <c r="S43" s="4420"/>
      <c r="T43" s="4420">
        <f>G43</f>
        <v>0</v>
      </c>
      <c r="U43" s="4420"/>
      <c r="V43" s="4420">
        <f>I43</f>
        <v>0</v>
      </c>
      <c r="W43" s="4420"/>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419" t="str">
        <f>A44</f>
        <v>比较价值（元/平方米）</v>
      </c>
      <c r="Q44" s="4419"/>
      <c r="R44" s="4420" t="e">
        <f>ROUND(PRODUCT(R43,AA9:AA42),0)</f>
        <v>#DIV/0!</v>
      </c>
      <c r="S44" s="4420"/>
      <c r="T44" s="4420" t="e">
        <f>ROUND(PRODUCT(T43,AB9:AB42),0)</f>
        <v>#DIV/0!</v>
      </c>
      <c r="U44" s="4420"/>
      <c r="V44" s="4420" t="e">
        <f>ROUND(PRODUCT(V43,AC9:AC42),0)</f>
        <v>#DIV/0!</v>
      </c>
      <c r="W44" s="4420"/>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416" t="str">
        <f>A45</f>
        <v>估价对象XX用房的比较价值（楼面单价，元/平方米）</v>
      </c>
      <c r="Q45" s="4417"/>
      <c r="R45" s="4418" t="e">
        <f>ROUND(IF(D44="简单平均",AVERAGE(R44:W44),R44*F44+T44*H44+V44*J44),0)</f>
        <v>#DIV/0!</v>
      </c>
      <c r="S45" s="4418"/>
      <c r="T45" s="4418"/>
      <c r="U45" s="4418"/>
      <c r="V45" s="4418"/>
      <c r="W45" s="441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77" t="s">
        <v>1804</v>
      </c>
      <c r="H52" s="4509"/>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87.55</v>
      </c>
      <c r="F53" s="3238" t="e">
        <f t="shared" ref="F53:F62" si="15">ROUND(B53*E53/10000,0)</f>
        <v>#DIV/0!</v>
      </c>
      <c r="G53" s="4510"/>
      <c r="H53" s="4497"/>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0.2</v>
      </c>
      <c r="D60" s="3237">
        <v>0.25</v>
      </c>
      <c r="E60" s="3240">
        <f>'数据-汇总表'!E13</f>
        <v>0</v>
      </c>
      <c r="F60" s="3238" t="e">
        <f t="shared" si="15"/>
        <v>#DIV/0!</v>
      </c>
      <c r="G60" s="3250" t="s">
        <v>1817</v>
      </c>
      <c r="H60" s="3243" t="str">
        <f>IF(G60="商业",项目基本情况!B37,IF(G60="办公",项目基本情况!C37,IF(G60="住宅",项目基本情况!D37,项目基本情况!E37)))</f>
        <v>二级</v>
      </c>
      <c r="I60" s="2843">
        <f>SUMIF(修正!A59:A70,H60,修正!G59:G70)</f>
        <v>0.2</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2026-3-1</v>
      </c>
      <c r="D65" s="485">
        <f>EDATE(C65,-3)</f>
        <v>45992</v>
      </c>
      <c r="E65" s="485">
        <f>EDATE(D65,-3)</f>
        <v>45901</v>
      </c>
      <c r="F65" s="485">
        <f t="shared" ref="F65:O65" si="18">EDATE(E65,-3)</f>
        <v>45809</v>
      </c>
      <c r="G65" s="485">
        <f t="shared" si="18"/>
        <v>45717</v>
      </c>
      <c r="H65" s="485">
        <f t="shared" si="18"/>
        <v>45627</v>
      </c>
      <c r="I65" s="485">
        <f t="shared" si="18"/>
        <v>45536</v>
      </c>
      <c r="J65" s="485">
        <f t="shared" si="18"/>
        <v>45444</v>
      </c>
      <c r="K65" s="485">
        <f t="shared" si="18"/>
        <v>45352</v>
      </c>
      <c r="L65" s="485">
        <f t="shared" si="18"/>
        <v>45261</v>
      </c>
      <c r="M65" s="485">
        <f t="shared" si="18"/>
        <v>45170</v>
      </c>
      <c r="N65" s="485">
        <f t="shared" si="18"/>
        <v>45078</v>
      </c>
      <c r="O65" s="485">
        <f t="shared" si="18"/>
        <v>44986</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33" priority="13" stopIfTrue="1">
      <formula>$F$48="超过30%"</formula>
    </cfRule>
  </conditionalFormatting>
  <conditionalFormatting sqref="E49">
    <cfRule type="expression" dxfId="32" priority="53" stopIfTrue="1">
      <formula>#REF!+$F$49="超过20%"</formula>
    </cfRule>
  </conditionalFormatting>
  <conditionalFormatting sqref="E50">
    <cfRule type="expression" dxfId="31" priority="10" stopIfTrue="1">
      <formula>$F$50="超过30%"</formula>
    </cfRule>
  </conditionalFormatting>
  <conditionalFormatting sqref="F9:F42 H9:H42 J9:J42">
    <cfRule type="cellIs" dxfId="30" priority="1" operator="notEqual">
      <formula>100</formula>
    </cfRule>
  </conditionalFormatting>
  <conditionalFormatting sqref="F44">
    <cfRule type="expression" dxfId="29" priority="4">
      <formula>$D$44="简单平均"</formula>
    </cfRule>
  </conditionalFormatting>
  <conditionalFormatting sqref="F48:F50 H48:H50 J48:J50">
    <cfRule type="containsText" dxfId="28" priority="14" stopIfTrue="1" operator="containsText" text="超过">
      <formula>NOT(ISERROR(SEARCH("超过",F48)))</formula>
    </cfRule>
  </conditionalFormatting>
  <conditionalFormatting sqref="G48">
    <cfRule type="expression" dxfId="27" priority="9" stopIfTrue="1">
      <formula>$H$48="超过30%"</formula>
    </cfRule>
  </conditionalFormatting>
  <conditionalFormatting sqref="G49">
    <cfRule type="expression" dxfId="26" priority="8" stopIfTrue="1">
      <formula>$H$49="超过20%"</formula>
    </cfRule>
  </conditionalFormatting>
  <conditionalFormatting sqref="G50">
    <cfRule type="expression" dxfId="25" priority="12" stopIfTrue="1">
      <formula>$H$50="超过30%"</formula>
    </cfRule>
  </conditionalFormatting>
  <conditionalFormatting sqref="H44">
    <cfRule type="expression" dxfId="24" priority="3">
      <formula>$D$44="简单平均"</formula>
    </cfRule>
  </conditionalFormatting>
  <conditionalFormatting sqref="I48">
    <cfRule type="expression" dxfId="23" priority="7" stopIfTrue="1">
      <formula>$J$48="超过30%"</formula>
    </cfRule>
  </conditionalFormatting>
  <conditionalFormatting sqref="I49">
    <cfRule type="expression" dxfId="22" priority="6" stopIfTrue="1">
      <formula>$J$49="超过20%"</formula>
    </cfRule>
  </conditionalFormatting>
  <conditionalFormatting sqref="I50">
    <cfRule type="expression" dxfId="21" priority="5" stopIfTrue="1">
      <formula>$J$50="超过30%"</formula>
    </cfRule>
  </conditionalFormatting>
  <conditionalFormatting sqref="J44">
    <cfRule type="expression" dxfId="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-1</v>
      </c>
      <c r="C2" s="172" t="s">
        <v>1539</v>
      </c>
      <c r="D2" s="3510"/>
      <c r="E2" s="2098"/>
      <c r="G2" s="2098"/>
      <c r="H2" s="2098"/>
      <c r="I2" s="2098"/>
      <c r="J2" s="2098"/>
      <c r="K2" s="2098"/>
    </row>
    <row r="3" spans="1:33" ht="18" customHeight="1">
      <c r="A3" s="99" t="s">
        <v>1438</v>
      </c>
      <c r="B3" s="2611">
        <f ca="1">ROUND(B2*10000/IF(C1="",'数据-汇总表'!E3,INDIRECT("'数据-取费表'!K"&amp;$K$1)),0)</f>
        <v>-114</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15" t="s">
        <v>3405</v>
      </c>
      <c r="D6" s="4515"/>
      <c r="E6" s="4515"/>
      <c r="F6" s="4515"/>
      <c r="G6" s="4515"/>
      <c r="H6" s="4515"/>
      <c r="I6" s="4515"/>
      <c r="J6" s="4515"/>
      <c r="K6" s="451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9" t="s">
        <v>3418</v>
      </c>
      <c r="B11" s="4520"/>
      <c r="C11" s="4520"/>
      <c r="D11" s="4520"/>
      <c r="E11" s="4520"/>
      <c r="F11" s="4520"/>
      <c r="G11" s="4520"/>
      <c r="H11" s="4520"/>
      <c r="I11" s="4520"/>
      <c r="J11" s="4520"/>
      <c r="K11" s="4521"/>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1</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0.02</v>
      </c>
      <c r="G18" s="2782" t="s">
        <v>1552</v>
      </c>
      <c r="H18" s="2782"/>
      <c r="I18" s="2782"/>
      <c r="J18" s="2782"/>
      <c r="K18" s="2783"/>
    </row>
    <row r="19" spans="1:33" s="551" customFormat="1" ht="13.5" customHeight="1">
      <c r="A19" s="547" t="s">
        <v>3408</v>
      </c>
      <c r="B19" s="2798" t="s">
        <v>3422</v>
      </c>
      <c r="C19" s="2807">
        <f ca="1">C20+C23+C24</f>
        <v>1</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1</v>
      </c>
      <c r="D20" s="567"/>
      <c r="E20" s="12"/>
      <c r="F20" s="2775"/>
      <c r="G20" s="2786"/>
      <c r="H20" s="2787"/>
      <c r="I20" s="2788" t="s">
        <v>1558</v>
      </c>
      <c r="J20" s="55"/>
      <c r="K20" s="2784"/>
    </row>
    <row r="21" spans="1:33" s="551" customFormat="1" ht="13.5" customHeight="1">
      <c r="A21" s="2800" t="s">
        <v>3414</v>
      </c>
      <c r="B21" s="2801" t="s">
        <v>3425</v>
      </c>
      <c r="C21" s="2808">
        <f ca="1">ROUND(D21*E21/10000,0)</f>
        <v>1</v>
      </c>
      <c r="D21" s="2810">
        <f ca="1">IF(C1="",'数据-汇总表'!E5,IF(INDIRECT("'数据-取费表'!c"&amp;$K$1)="住宅",INDIRECT("'数据-取费表'!k"&amp;$K$1),0))</f>
        <v>87.55</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87.55</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87.55</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0.02</v>
      </c>
      <c r="G25" s="2758"/>
      <c r="H25" s="2758"/>
      <c r="I25" s="2758"/>
      <c r="J25" s="2758"/>
      <c r="K25" s="2789"/>
    </row>
    <row r="26" spans="1:33" s="552" customFormat="1" ht="13.5" customHeight="1">
      <c r="A26" s="2755" t="s">
        <v>3410</v>
      </c>
      <c r="B26" s="2798" t="s">
        <v>3424</v>
      </c>
      <c r="C26" s="2770">
        <f ca="1">ROUND(C16*F26,0)</f>
        <v>0</v>
      </c>
      <c r="D26" s="553"/>
      <c r="E26" s="557"/>
      <c r="F26" s="2774">
        <f>'数据-取费表'!B37</f>
        <v>0.02</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17" t="s">
        <v>3417</v>
      </c>
      <c r="H32" s="4517"/>
      <c r="I32" s="4517"/>
      <c r="J32" s="4517"/>
      <c r="K32" s="4518"/>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-1</v>
      </c>
      <c r="D36" s="2782"/>
      <c r="E36" s="2782"/>
      <c r="F36" s="173"/>
      <c r="G36" s="2819" t="s">
        <v>3428</v>
      </c>
      <c r="H36" s="2782"/>
      <c r="I36" s="2782"/>
      <c r="J36" s="2782"/>
      <c r="K36" s="2783"/>
    </row>
    <row r="37" spans="1:11" s="2912" customFormat="1" ht="15" thickBot="1">
      <c r="A37" s="2795">
        <v>10</v>
      </c>
      <c r="B37" s="2796" t="s">
        <v>3511</v>
      </c>
      <c r="C37" s="2909">
        <f ca="1">ROUND(C36*(1+F37),0)</f>
        <v>-1</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1</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1</v>
      </c>
      <c r="D53" s="654"/>
      <c r="E53" s="654"/>
      <c r="F53" s="654"/>
      <c r="G53" s="654"/>
    </row>
    <row r="54" spans="1:7" s="3390" customFormat="1">
      <c r="A54" s="3592" t="s">
        <v>3414</v>
      </c>
      <c r="B54" s="3593" t="s">
        <v>3541</v>
      </c>
      <c r="C54" s="3594">
        <f ca="1">C20</f>
        <v>1</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-1</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316</v>
      </c>
      <c r="C2" s="1613" t="s">
        <v>1991</v>
      </c>
      <c r="D2" s="1613" t="s">
        <v>1992</v>
      </c>
      <c r="E2" s="3049">
        <f ca="1">SUMIF(E6:E13,"&lt;&gt;#ref!",E6:E13)</f>
        <v>87.55</v>
      </c>
      <c r="F2" s="2078"/>
      <c r="G2" s="2078"/>
      <c r="H2" s="2078"/>
      <c r="I2" s="2078"/>
      <c r="J2" s="2078"/>
      <c r="K2" s="2078"/>
      <c r="L2" s="2078"/>
      <c r="M2" s="2078"/>
      <c r="N2" s="2078"/>
      <c r="O2" s="2078"/>
      <c r="P2" s="2078"/>
    </row>
    <row r="3" spans="1:16" ht="15.6">
      <c r="A3" s="1613" t="s">
        <v>1993</v>
      </c>
      <c r="B3" s="3048">
        <f ca="1">ROUND(B2*10000/E2,0)</f>
        <v>36094</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316</v>
      </c>
      <c r="C6" s="1613" t="s">
        <v>1991</v>
      </c>
      <c r="D6" s="2078"/>
      <c r="E6" s="3049">
        <f ca="1">SUMIF(INDIRECT("'"&amp;A6&amp;"'"&amp;"!C:C"),"建筑面积",INDIRECT("'"&amp;A6&amp;"'"&amp;"!D:D"))</f>
        <v>87.55</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90" zoomScaleNormal="60" zoomScaleSheetLayoutView="90" workbookViewId="0">
      <selection activeCell="C27" sqref="C27"/>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3947</v>
      </c>
      <c r="F1" s="1390" t="s">
        <v>3948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v>
      </c>
      <c r="C2" s="2908" t="s">
        <v>3963</v>
      </c>
      <c r="D2" s="3941">
        <f>IF(E1="项目模式",IF(E2="——",ROUND(C49*D3/10000,0),ROUND(C49*D3/10000,0)-F2),IF(E1="单套模式",IF(E2="——",ROUND(C49*D3/10000,4),ROUND(C49*D3/10000,4)-F2)))</f>
        <v>0.93589999999999995</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106.9</v>
      </c>
      <c r="C3" s="235" t="s">
        <v>1582</v>
      </c>
      <c r="D3" s="3004">
        <f>IF(D1="",'数据-汇总表'!E3,SUMIF('数据-汇总表'!$C19:$C33,D1,'数据-汇总表'!$E19:$E33))</f>
        <v>87.55</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394" t="s">
        <v>1584</v>
      </c>
      <c r="D4" s="4395"/>
      <c r="E4" s="4396" t="s">
        <v>1585</v>
      </c>
      <c r="F4" s="4397"/>
      <c r="G4" s="4394" t="s">
        <v>1586</v>
      </c>
      <c r="H4" s="4395"/>
      <c r="I4" s="4394" t="s">
        <v>1587</v>
      </c>
      <c r="J4" s="4395"/>
      <c r="K4" s="2933" t="s">
        <v>1588</v>
      </c>
      <c r="L4" s="2020"/>
      <c r="M4" s="2021"/>
      <c r="N4" s="2021"/>
      <c r="O4" s="2021"/>
      <c r="P4" s="4398" t="s">
        <v>1589</v>
      </c>
      <c r="Q4" s="4399"/>
      <c r="R4" s="4379" t="s">
        <v>1585</v>
      </c>
      <c r="S4" s="4380"/>
      <c r="T4" s="4379" t="s">
        <v>1586</v>
      </c>
      <c r="U4" s="4380"/>
      <c r="V4" s="4406" t="s">
        <v>1587</v>
      </c>
      <c r="W4" s="4406"/>
      <c r="X4" s="946"/>
      <c r="Y4" s="4409" t="s">
        <v>1589</v>
      </c>
      <c r="Z4" s="4410"/>
      <c r="AA4" s="4374" t="s">
        <v>1585</v>
      </c>
      <c r="AB4" s="4374" t="s">
        <v>1586</v>
      </c>
      <c r="AC4" s="4374" t="s">
        <v>1587</v>
      </c>
    </row>
    <row r="5" spans="1:29">
      <c r="A5" s="239"/>
      <c r="B5" s="240"/>
      <c r="C5" s="4385" t="s">
        <v>1590</v>
      </c>
      <c r="D5" s="4386"/>
      <c r="E5" s="4383" t="str">
        <f>案例!A1</f>
        <v>安华西里</v>
      </c>
      <c r="F5" s="4384"/>
      <c r="G5" s="4385" t="str">
        <f>案例!A4</f>
        <v>安华西里</v>
      </c>
      <c r="H5" s="4386"/>
      <c r="I5" s="4385" t="str">
        <f>案例!A5</f>
        <v>安华西里</v>
      </c>
      <c r="J5" s="4386"/>
      <c r="K5" s="2934"/>
      <c r="L5" s="2020"/>
      <c r="M5" s="2021"/>
      <c r="N5" s="2021"/>
      <c r="O5" s="2021"/>
      <c r="P5" s="4400"/>
      <c r="Q5" s="4401"/>
      <c r="R5" s="4381"/>
      <c r="S5" s="4382"/>
      <c r="T5" s="4381"/>
      <c r="U5" s="4382"/>
      <c r="V5" s="4406"/>
      <c r="W5" s="4406"/>
      <c r="X5" s="946"/>
      <c r="Y5" s="4411"/>
      <c r="Z5" s="4412"/>
      <c r="AA5" s="4375"/>
      <c r="AB5" s="4375"/>
      <c r="AC5" s="4375"/>
    </row>
    <row r="6" spans="1:29" ht="15" thickBot="1">
      <c r="A6" s="241"/>
      <c r="B6" s="242"/>
      <c r="C6" s="4391" t="s">
        <v>1594</v>
      </c>
      <c r="D6" s="4388"/>
      <c r="E6" s="4389" t="e">
        <f>案例!#REF!</f>
        <v>#REF!</v>
      </c>
      <c r="F6" s="4390"/>
      <c r="G6" s="4391" t="s">
        <v>1594</v>
      </c>
      <c r="H6" s="4388"/>
      <c r="I6" s="4391" t="s">
        <v>1594</v>
      </c>
      <c r="J6" s="4388"/>
      <c r="K6" s="2934" t="s">
        <v>1595</v>
      </c>
      <c r="L6" s="2020"/>
      <c r="M6" s="2021"/>
      <c r="N6" s="2021"/>
      <c r="O6" s="2021"/>
      <c r="P6" s="4402"/>
      <c r="Q6" s="4403"/>
      <c r="R6" s="4381"/>
      <c r="S6" s="4382"/>
      <c r="T6" s="4404"/>
      <c r="U6" s="4405"/>
      <c r="V6" s="4406"/>
      <c r="W6" s="4406"/>
      <c r="X6" s="946"/>
      <c r="Y6" s="4413"/>
      <c r="Z6" s="4414"/>
      <c r="AA6" s="4376"/>
      <c r="AB6" s="4376"/>
      <c r="AC6" s="4376"/>
    </row>
    <row r="7" spans="1:29" s="46" customFormat="1" ht="15" thickBot="1">
      <c r="A7" s="243" t="s">
        <v>1596</v>
      </c>
      <c r="B7" s="244"/>
      <c r="C7" s="2935">
        <f>'数据-取费表'!B2</f>
        <v>46100</v>
      </c>
      <c r="D7" s="3009">
        <v>100</v>
      </c>
      <c r="E7" s="2964">
        <f>案例!B1</f>
        <v>46100</v>
      </c>
      <c r="F7" s="3943">
        <f>SUMIF(58:58,YEAR(E7)&amp;"-"&amp;MONTH(E7),59:59)</f>
        <v>100</v>
      </c>
      <c r="G7" s="2964">
        <f>案例!B4</f>
        <v>46030</v>
      </c>
      <c r="H7" s="3955">
        <f>SUMIF(58:58,YEAR(G7)&amp;"-"&amp;MONTH(G7),59:59)</f>
        <v>100</v>
      </c>
      <c r="I7" s="2964">
        <f>案例!B5</f>
        <v>45954</v>
      </c>
      <c r="J7" s="3955">
        <f>SUMIF(58:58,YEAR(I7)&amp;"-"&amp;MONTH(I7),59:59)</f>
        <v>100.5</v>
      </c>
      <c r="K7" s="2926"/>
      <c r="L7" s="2022"/>
      <c r="M7" s="1973"/>
      <c r="N7" s="1973"/>
      <c r="O7" s="1973"/>
      <c r="P7" s="4407" t="s">
        <v>1597</v>
      </c>
      <c r="Q7" s="4415"/>
      <c r="R7" s="3855" t="s">
        <v>13</v>
      </c>
      <c r="S7" s="3327">
        <f t="shared" ref="S7:S15" si="0">F7</f>
        <v>100</v>
      </c>
      <c r="T7" s="3855" t="s">
        <v>13</v>
      </c>
      <c r="U7" s="3327">
        <f t="shared" ref="U7:U15" si="1">H7</f>
        <v>100</v>
      </c>
      <c r="V7" s="3855" t="s">
        <v>13</v>
      </c>
      <c r="W7" s="3327">
        <f t="shared" ref="W7:W15" si="2">J7</f>
        <v>100.5</v>
      </c>
      <c r="X7" s="493"/>
      <c r="Y7" s="4377" t="s">
        <v>1597</v>
      </c>
      <c r="Z7" s="4378"/>
      <c r="AA7" s="28">
        <f>D7/F7</f>
        <v>1</v>
      </c>
      <c r="AB7" s="28">
        <f>D7/H7</f>
        <v>1</v>
      </c>
      <c r="AC7" s="28">
        <f>D7/J7</f>
        <v>0.99502487562189057</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07" t="s">
        <v>1600</v>
      </c>
      <c r="Q8" s="4408"/>
      <c r="R8" s="3855" t="s">
        <v>13</v>
      </c>
      <c r="S8" s="3327">
        <f t="shared" si="0"/>
        <v>100</v>
      </c>
      <c r="T8" s="3855" t="s">
        <v>13</v>
      </c>
      <c r="U8" s="3327">
        <f t="shared" si="1"/>
        <v>100</v>
      </c>
      <c r="V8" s="3855" t="s">
        <v>13</v>
      </c>
      <c r="W8" s="3327">
        <f t="shared" si="2"/>
        <v>100</v>
      </c>
      <c r="X8" s="493"/>
      <c r="Y8" s="4377" t="s">
        <v>1600</v>
      </c>
      <c r="Z8" s="4378"/>
      <c r="AA8" s="28">
        <f t="shared" ref="AA8:AA19" si="3">D8/F8</f>
        <v>1</v>
      </c>
      <c r="AB8" s="28">
        <f t="shared" ref="AB8:AB19" si="4">D8/H8</f>
        <v>1</v>
      </c>
      <c r="AC8" s="28">
        <f t="shared" ref="AC8:AC19" si="5">D8/J8</f>
        <v>1</v>
      </c>
    </row>
    <row r="9" spans="1:29" s="46" customFormat="1" ht="14.4">
      <c r="A9" s="248" t="s">
        <v>1601</v>
      </c>
      <c r="B9" s="2916" t="s">
        <v>1602</v>
      </c>
      <c r="C9" s="4127" t="s">
        <v>3951</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2" t="s">
        <v>1603</v>
      </c>
      <c r="Q9" s="1742" t="str">
        <f t="shared" ref="Q9:Q15" si="6">B9</f>
        <v>用途</v>
      </c>
      <c r="R9" s="3855" t="s">
        <v>13</v>
      </c>
      <c r="S9" s="3327">
        <f t="shared" si="0"/>
        <v>100</v>
      </c>
      <c r="T9" s="3855" t="s">
        <v>13</v>
      </c>
      <c r="U9" s="3327">
        <f t="shared" si="1"/>
        <v>100</v>
      </c>
      <c r="V9" s="3855" t="s">
        <v>13</v>
      </c>
      <c r="W9" s="3327">
        <f t="shared" si="2"/>
        <v>100</v>
      </c>
      <c r="X9" s="493"/>
      <c r="Y9" s="4393"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2"/>
      <c r="Q10" s="1742" t="str">
        <f t="shared" si="6"/>
        <v>土地使用年限（年）</v>
      </c>
      <c r="R10" s="3855" t="s">
        <v>13</v>
      </c>
      <c r="S10" s="3327">
        <f t="shared" si="0"/>
        <v>100</v>
      </c>
      <c r="T10" s="3855" t="s">
        <v>13</v>
      </c>
      <c r="U10" s="3327">
        <f t="shared" si="1"/>
        <v>100</v>
      </c>
      <c r="V10" s="3855" t="s">
        <v>13</v>
      </c>
      <c r="W10" s="3327">
        <f t="shared" si="2"/>
        <v>100</v>
      </c>
      <c r="X10" s="493"/>
      <c r="Y10" s="4393"/>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2"/>
      <c r="Q11" s="1742" t="str">
        <f t="shared" si="6"/>
        <v>容积率</v>
      </c>
      <c r="R11" s="3855" t="s">
        <v>13</v>
      </c>
      <c r="S11" s="3327">
        <f t="shared" si="0"/>
        <v>100</v>
      </c>
      <c r="T11" s="3855" t="s">
        <v>13</v>
      </c>
      <c r="U11" s="3327">
        <f t="shared" si="1"/>
        <v>100</v>
      </c>
      <c r="V11" s="3855" t="s">
        <v>13</v>
      </c>
      <c r="W11" s="3327">
        <f t="shared" si="2"/>
        <v>100</v>
      </c>
      <c r="X11" s="493"/>
      <c r="Y11" s="4393"/>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2"/>
      <c r="Q12" s="1742">
        <f t="shared" si="6"/>
        <v>111</v>
      </c>
      <c r="R12" s="3855" t="s">
        <v>13</v>
      </c>
      <c r="S12" s="3327">
        <f t="shared" si="0"/>
        <v>100</v>
      </c>
      <c r="T12" s="3855" t="s">
        <v>13</v>
      </c>
      <c r="U12" s="3327">
        <f t="shared" si="1"/>
        <v>100</v>
      </c>
      <c r="V12" s="3855" t="s">
        <v>13</v>
      </c>
      <c r="W12" s="3327">
        <f t="shared" si="2"/>
        <v>100</v>
      </c>
      <c r="X12" s="493"/>
      <c r="Y12" s="439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2"/>
      <c r="Q13" s="1742">
        <f t="shared" si="6"/>
        <v>111</v>
      </c>
      <c r="R13" s="3855" t="s">
        <v>13</v>
      </c>
      <c r="S13" s="3327">
        <f t="shared" si="0"/>
        <v>100</v>
      </c>
      <c r="T13" s="3855" t="s">
        <v>13</v>
      </c>
      <c r="U13" s="3327">
        <f t="shared" si="1"/>
        <v>100</v>
      </c>
      <c r="V13" s="3855" t="s">
        <v>13</v>
      </c>
      <c r="W13" s="3327">
        <f t="shared" si="2"/>
        <v>100</v>
      </c>
      <c r="X13" s="493"/>
      <c r="Y13" s="4393"/>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2"/>
      <c r="Q14" s="1742">
        <f t="shared" si="6"/>
        <v>111</v>
      </c>
      <c r="R14" s="3855" t="s">
        <v>13</v>
      </c>
      <c r="S14" s="3327">
        <f t="shared" si="0"/>
        <v>100</v>
      </c>
      <c r="T14" s="3855" t="s">
        <v>13</v>
      </c>
      <c r="U14" s="3327">
        <f t="shared" si="1"/>
        <v>100</v>
      </c>
      <c r="V14" s="3855" t="s">
        <v>13</v>
      </c>
      <c r="W14" s="3327">
        <f t="shared" si="2"/>
        <v>100</v>
      </c>
      <c r="X14" s="493"/>
      <c r="Y14" s="4393"/>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28" t="s">
        <v>1608</v>
      </c>
      <c r="Q15" s="1544" t="str">
        <f t="shared" si="6"/>
        <v>居住社区成熟度</v>
      </c>
      <c r="R15" s="3961" t="s">
        <v>13</v>
      </c>
      <c r="S15" s="3328">
        <f t="shared" si="0"/>
        <v>100</v>
      </c>
      <c r="T15" s="3961" t="s">
        <v>13</v>
      </c>
      <c r="U15" s="3328">
        <f t="shared" si="1"/>
        <v>100</v>
      </c>
      <c r="V15" s="3961" t="s">
        <v>13</v>
      </c>
      <c r="W15" s="3328">
        <f t="shared" si="2"/>
        <v>100</v>
      </c>
      <c r="X15" s="946"/>
      <c r="Y15" s="4421"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29"/>
      <c r="Q16" s="1544"/>
      <c r="R16" s="3961"/>
      <c r="S16" s="3328"/>
      <c r="T16" s="3961"/>
      <c r="U16" s="3328"/>
      <c r="V16" s="3961"/>
      <c r="W16" s="3328"/>
      <c r="X16" s="946"/>
      <c r="Y16" s="4422"/>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29"/>
      <c r="Q17" s="1544" t="str">
        <f>B17</f>
        <v>交通便捷度</v>
      </c>
      <c r="R17" s="3961" t="s">
        <v>13</v>
      </c>
      <c r="S17" s="3328">
        <f>F17</f>
        <v>100</v>
      </c>
      <c r="T17" s="3961" t="s">
        <v>13</v>
      </c>
      <c r="U17" s="3328">
        <f>H17</f>
        <v>100</v>
      </c>
      <c r="V17" s="3961" t="s">
        <v>13</v>
      </c>
      <c r="W17" s="3328">
        <f>J17</f>
        <v>100</v>
      </c>
      <c r="X17" s="946"/>
      <c r="Y17" s="4422"/>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29"/>
      <c r="Q18" s="1544"/>
      <c r="R18" s="3961"/>
      <c r="S18" s="3328"/>
      <c r="T18" s="3961"/>
      <c r="U18" s="3328"/>
      <c r="V18" s="3961"/>
      <c r="W18" s="3328"/>
      <c r="X18" s="946"/>
      <c r="Y18" s="4422"/>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29"/>
      <c r="Q19" s="1544" t="str">
        <f>B19</f>
        <v>公共配套设施</v>
      </c>
      <c r="R19" s="3961" t="s">
        <v>13</v>
      </c>
      <c r="S19" s="3328">
        <f>F19</f>
        <v>100</v>
      </c>
      <c r="T19" s="3961" t="s">
        <v>13</v>
      </c>
      <c r="U19" s="3328">
        <f>H19</f>
        <v>100</v>
      </c>
      <c r="V19" s="3961" t="s">
        <v>13</v>
      </c>
      <c r="W19" s="3328">
        <f>J19</f>
        <v>100</v>
      </c>
      <c r="X19" s="946"/>
      <c r="Y19" s="4422"/>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29"/>
      <c r="Q20" s="1544"/>
      <c r="R20" s="3961"/>
      <c r="S20" s="3328"/>
      <c r="T20" s="3961"/>
      <c r="U20" s="3328"/>
      <c r="V20" s="3961"/>
      <c r="W20" s="3328"/>
      <c r="X20" s="946"/>
      <c r="Y20" s="4422"/>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29"/>
      <c r="Q21" s="1544" t="str">
        <f>B21</f>
        <v>基础设施水平</v>
      </c>
      <c r="R21" s="3961" t="s">
        <v>13</v>
      </c>
      <c r="S21" s="3328">
        <f>F21</f>
        <v>100</v>
      </c>
      <c r="T21" s="3961" t="s">
        <v>13</v>
      </c>
      <c r="U21" s="3328">
        <f>H21</f>
        <v>100</v>
      </c>
      <c r="V21" s="3961" t="s">
        <v>13</v>
      </c>
      <c r="W21" s="3328">
        <f>J21</f>
        <v>100</v>
      </c>
      <c r="X21" s="946"/>
      <c r="Y21" s="4422"/>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29"/>
      <c r="Q22" s="1544"/>
      <c r="R22" s="3961"/>
      <c r="S22" s="3328"/>
      <c r="T22" s="3961"/>
      <c r="U22" s="3328"/>
      <c r="V22" s="3961"/>
      <c r="W22" s="3328"/>
      <c r="X22" s="946"/>
      <c r="Y22" s="4422"/>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29"/>
      <c r="Q23" s="1544" t="str">
        <f>B23</f>
        <v>自然及人文环境</v>
      </c>
      <c r="R23" s="3961" t="s">
        <v>13</v>
      </c>
      <c r="S23" s="3328">
        <f>F23</f>
        <v>100</v>
      </c>
      <c r="T23" s="3961" t="s">
        <v>13</v>
      </c>
      <c r="U23" s="3328">
        <f>H23</f>
        <v>100</v>
      </c>
      <c r="V23" s="3961" t="s">
        <v>13</v>
      </c>
      <c r="W23" s="3328">
        <f>J23</f>
        <v>100</v>
      </c>
      <c r="X23" s="946"/>
      <c r="Y23" s="4422"/>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29"/>
      <c r="Q24" s="1544"/>
      <c r="R24" s="3961"/>
      <c r="S24" s="3328"/>
      <c r="T24" s="3961"/>
      <c r="U24" s="3328"/>
      <c r="V24" s="3961"/>
      <c r="W24" s="3328"/>
      <c r="X24" s="946"/>
      <c r="Y24" s="4422"/>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29"/>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422"/>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4025</v>
      </c>
      <c r="F26" s="3951">
        <f>SUMIF(88:88,E26,89:89)-SUMIF(88:88,C26,89:89)+100</f>
        <v>94</v>
      </c>
      <c r="G26" s="2992" t="s">
        <v>4032</v>
      </c>
      <c r="H26" s="3951">
        <f>SUMIF(88:88,G26,89:89)-SUMIF(88:88,C26,89:89)+100</f>
        <v>97</v>
      </c>
      <c r="I26" s="2992" t="s">
        <v>4028</v>
      </c>
      <c r="J26" s="3951">
        <f>SUMIF(88:88,I26,89:89)-SUMIF(88:88,C26,89:89)+100</f>
        <v>98</v>
      </c>
      <c r="K26" s="2927">
        <v>1</v>
      </c>
      <c r="L26" s="2026"/>
      <c r="M26" s="2021"/>
      <c r="N26" s="2021"/>
      <c r="O26" s="2021"/>
      <c r="P26" s="4429"/>
      <c r="Q26" s="1544" t="str">
        <f t="shared" si="11"/>
        <v>朝向</v>
      </c>
      <c r="R26" s="3961" t="s">
        <v>13</v>
      </c>
      <c r="S26" s="3328">
        <f t="shared" si="12"/>
        <v>94</v>
      </c>
      <c r="T26" s="3961" t="s">
        <v>13</v>
      </c>
      <c r="U26" s="3328">
        <f t="shared" si="13"/>
        <v>97</v>
      </c>
      <c r="V26" s="3961" t="s">
        <v>13</v>
      </c>
      <c r="W26" s="3328">
        <f t="shared" si="14"/>
        <v>98</v>
      </c>
      <c r="X26" s="946"/>
      <c r="Y26" s="4422"/>
      <c r="Z26" s="944" t="str">
        <f>Q26</f>
        <v>朝向</v>
      </c>
      <c r="AA26" s="944">
        <f t="shared" si="15"/>
        <v>1.0638297872340425</v>
      </c>
      <c r="AB26" s="944">
        <f t="shared" si="16"/>
        <v>1.0309278350515463</v>
      </c>
      <c r="AC26" s="944">
        <f t="shared" si="17"/>
        <v>1.0204081632653061</v>
      </c>
    </row>
    <row r="27" spans="1:29" s="46" customFormat="1" ht="15">
      <c r="A27" s="258"/>
      <c r="B27" s="4131" t="s">
        <v>3960</v>
      </c>
      <c r="C27" s="4132" t="s">
        <v>4042</v>
      </c>
      <c r="D27" s="3019">
        <v>100</v>
      </c>
      <c r="E27" s="4578" t="s">
        <v>4034</v>
      </c>
      <c r="F27" s="3952">
        <f>SUMIF(90:90,E27,91:91)-SUMIF(90:90,C27,91:91)+100</f>
        <v>98</v>
      </c>
      <c r="G27" s="4579" t="s">
        <v>4034</v>
      </c>
      <c r="H27" s="3952">
        <f>SUMIF(90:90,G27,91:91)-SUMIF(90:90,C27,91:91)+100</f>
        <v>98</v>
      </c>
      <c r="I27" s="4579" t="s">
        <v>4041</v>
      </c>
      <c r="J27" s="3952">
        <f>SUMIF(90:90,I27,91:91)-SUMIF(90:90,C27,91:91)+100</f>
        <v>98</v>
      </c>
      <c r="K27" s="2928"/>
      <c r="L27" s="2022"/>
      <c r="M27" s="1973"/>
      <c r="N27" s="1973"/>
      <c r="O27" s="1973"/>
      <c r="P27" s="4429"/>
      <c r="Q27" s="1742" t="str">
        <f t="shared" si="11"/>
        <v>楼层</v>
      </c>
      <c r="R27" s="3855" t="s">
        <v>13</v>
      </c>
      <c r="S27" s="3327">
        <f t="shared" si="12"/>
        <v>98</v>
      </c>
      <c r="T27" s="3855" t="s">
        <v>13</v>
      </c>
      <c r="U27" s="3327">
        <f t="shared" si="13"/>
        <v>98</v>
      </c>
      <c r="V27" s="3855" t="s">
        <v>13</v>
      </c>
      <c r="W27" s="3327">
        <f t="shared" si="14"/>
        <v>98</v>
      </c>
      <c r="X27" s="493"/>
      <c r="Y27" s="4422"/>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29"/>
      <c r="Q28" s="1544">
        <f t="shared" si="11"/>
        <v>111</v>
      </c>
      <c r="R28" s="3961" t="s">
        <v>13</v>
      </c>
      <c r="S28" s="3328">
        <f t="shared" si="12"/>
        <v>100</v>
      </c>
      <c r="T28" s="3961" t="s">
        <v>13</v>
      </c>
      <c r="U28" s="3328">
        <f t="shared" si="13"/>
        <v>100</v>
      </c>
      <c r="V28" s="3961" t="s">
        <v>13</v>
      </c>
      <c r="W28" s="3328">
        <f t="shared" si="14"/>
        <v>100</v>
      </c>
      <c r="X28" s="946"/>
      <c r="Y28" s="4422"/>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29"/>
      <c r="Q29" s="1544">
        <f t="shared" si="11"/>
        <v>111</v>
      </c>
      <c r="R29" s="3961" t="s">
        <v>13</v>
      </c>
      <c r="S29" s="3328">
        <f t="shared" si="12"/>
        <v>100</v>
      </c>
      <c r="T29" s="3961" t="s">
        <v>13</v>
      </c>
      <c r="U29" s="3328">
        <f t="shared" si="13"/>
        <v>100</v>
      </c>
      <c r="V29" s="3961" t="s">
        <v>13</v>
      </c>
      <c r="W29" s="3328">
        <f t="shared" si="14"/>
        <v>100</v>
      </c>
      <c r="X29" s="946"/>
      <c r="Y29" s="4422"/>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29"/>
      <c r="Q30" s="1544">
        <f t="shared" si="11"/>
        <v>111</v>
      </c>
      <c r="R30" s="3961" t="s">
        <v>13</v>
      </c>
      <c r="S30" s="3328">
        <f t="shared" si="12"/>
        <v>100</v>
      </c>
      <c r="T30" s="3961" t="s">
        <v>13</v>
      </c>
      <c r="U30" s="3328">
        <f t="shared" si="13"/>
        <v>100</v>
      </c>
      <c r="V30" s="3961" t="s">
        <v>13</v>
      </c>
      <c r="W30" s="3328">
        <f t="shared" si="14"/>
        <v>100</v>
      </c>
      <c r="X30" s="946"/>
      <c r="Y30" s="4422"/>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29"/>
      <c r="Q31" s="1544">
        <f t="shared" si="11"/>
        <v>111</v>
      </c>
      <c r="R31" s="3961" t="s">
        <v>13</v>
      </c>
      <c r="S31" s="3328">
        <f t="shared" si="12"/>
        <v>100</v>
      </c>
      <c r="T31" s="3961" t="s">
        <v>13</v>
      </c>
      <c r="U31" s="3328">
        <f t="shared" si="13"/>
        <v>100</v>
      </c>
      <c r="V31" s="3961" t="s">
        <v>13</v>
      </c>
      <c r="W31" s="3328">
        <f t="shared" si="14"/>
        <v>100</v>
      </c>
      <c r="X31" s="946"/>
      <c r="Y31" s="4422"/>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v>3</v>
      </c>
      <c r="L32" s="2026"/>
      <c r="M32" s="2021"/>
      <c r="N32" s="2021"/>
      <c r="O32" s="2021"/>
      <c r="P32" s="4423" t="s">
        <v>1613</v>
      </c>
      <c r="Q32" s="1544" t="str">
        <f t="shared" si="11"/>
        <v>建筑类型</v>
      </c>
      <c r="R32" s="3961" t="s">
        <v>13</v>
      </c>
      <c r="S32" s="3328">
        <f t="shared" si="12"/>
        <v>100</v>
      </c>
      <c r="T32" s="3961" t="s">
        <v>13</v>
      </c>
      <c r="U32" s="3328">
        <f t="shared" si="13"/>
        <v>100</v>
      </c>
      <c r="V32" s="3961" t="s">
        <v>13</v>
      </c>
      <c r="W32" s="3328">
        <f t="shared" si="14"/>
        <v>100</v>
      </c>
      <c r="X32" s="946"/>
      <c r="Y32" s="4426"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案例!C1</f>
        <v>61.61</v>
      </c>
      <c r="F33" s="3945">
        <f>LOOKUP(E33,103:103,104:104)-LOOKUP(C33,103:103,104:104)+100</f>
        <v>102</v>
      </c>
      <c r="G33" s="2938">
        <f>案例!C4</f>
        <v>66</v>
      </c>
      <c r="H33" s="3957">
        <f>LOOKUP(G33,103:103,104:104)-LOOKUP(C33,103:103,104:104)+100</f>
        <v>102</v>
      </c>
      <c r="I33" s="2966">
        <f>案例!C5</f>
        <v>89</v>
      </c>
      <c r="J33" s="3957">
        <f>LOOKUP(I33,103:103,104:104)-LOOKUP(C33,103:103,104:104)+100</f>
        <v>100</v>
      </c>
      <c r="K33" s="2928"/>
      <c r="L33" s="2025"/>
      <c r="M33" s="2027"/>
      <c r="N33" s="2027"/>
      <c r="O33" s="2027"/>
      <c r="P33" s="4424"/>
      <c r="Q33" s="392" t="str">
        <f t="shared" si="11"/>
        <v>项目建筑规模</v>
      </c>
      <c r="R33" s="3962" t="s">
        <v>13</v>
      </c>
      <c r="S33" s="3329">
        <f t="shared" si="12"/>
        <v>102</v>
      </c>
      <c r="T33" s="3962" t="s">
        <v>13</v>
      </c>
      <c r="U33" s="3329">
        <f t="shared" si="13"/>
        <v>102</v>
      </c>
      <c r="V33" s="3962" t="s">
        <v>13</v>
      </c>
      <c r="W33" s="3329">
        <f t="shared" si="14"/>
        <v>100</v>
      </c>
      <c r="X33" s="494"/>
      <c r="Y33" s="4426"/>
      <c r="Z33" s="495" t="str">
        <f t="shared" si="18"/>
        <v>项目建筑规模</v>
      </c>
      <c r="AA33" s="944">
        <f t="shared" si="15"/>
        <v>0.98039215686274506</v>
      </c>
      <c r="AB33" s="944">
        <f t="shared" si="16"/>
        <v>0.98039215686274506</v>
      </c>
      <c r="AC33" s="944">
        <f t="shared" si="17"/>
        <v>1</v>
      </c>
    </row>
    <row r="34" spans="1:29" ht="15">
      <c r="A34" s="281"/>
      <c r="B34" s="2913" t="s">
        <v>1615</v>
      </c>
      <c r="C34" s="2947" t="s">
        <v>3954</v>
      </c>
      <c r="D34" s="3013">
        <v>100</v>
      </c>
      <c r="E34" s="2991" t="s">
        <v>3954</v>
      </c>
      <c r="F34" s="3954">
        <f>SUMIF(105:105,E34,106:106)-SUMIF(105:105,C34,106:106)+100</f>
        <v>100</v>
      </c>
      <c r="G34" s="2947" t="s">
        <v>3954</v>
      </c>
      <c r="H34" s="3951">
        <f>SUMIF(105:105,G34,106:106)-SUMIF(105:105,C34,106:106)+100</f>
        <v>100</v>
      </c>
      <c r="I34" s="2991" t="s">
        <v>3954</v>
      </c>
      <c r="J34" s="3951">
        <f>SUMIF(105:105,I34,106:106)-SUMIF(105:105,C34,106:106)+100</f>
        <v>100</v>
      </c>
      <c r="K34" s="2927">
        <v>2</v>
      </c>
      <c r="L34" s="2026"/>
      <c r="M34" s="2021"/>
      <c r="N34" s="2021"/>
      <c r="O34" s="2021"/>
      <c r="P34" s="4424"/>
      <c r="Q34" s="1544" t="str">
        <f t="shared" si="11"/>
        <v>建筑结构</v>
      </c>
      <c r="R34" s="3961" t="s">
        <v>13</v>
      </c>
      <c r="S34" s="3328">
        <f t="shared" si="12"/>
        <v>100</v>
      </c>
      <c r="T34" s="3961" t="s">
        <v>13</v>
      </c>
      <c r="U34" s="3328">
        <f t="shared" si="13"/>
        <v>100</v>
      </c>
      <c r="V34" s="3961" t="s">
        <v>13</v>
      </c>
      <c r="W34" s="3328">
        <f t="shared" si="14"/>
        <v>100</v>
      </c>
      <c r="X34" s="946"/>
      <c r="Y34" s="4426"/>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24"/>
      <c r="Q35" s="1544" t="str">
        <f t="shared" si="11"/>
        <v>建筑品质</v>
      </c>
      <c r="R35" s="3961" t="s">
        <v>13</v>
      </c>
      <c r="S35" s="3328">
        <f t="shared" si="12"/>
        <v>100</v>
      </c>
      <c r="T35" s="3961" t="s">
        <v>13</v>
      </c>
      <c r="U35" s="3328">
        <f t="shared" si="13"/>
        <v>100</v>
      </c>
      <c r="V35" s="3961" t="s">
        <v>13</v>
      </c>
      <c r="W35" s="3328">
        <f t="shared" si="14"/>
        <v>100</v>
      </c>
      <c r="X35" s="946"/>
      <c r="Y35" s="4426"/>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24"/>
      <c r="Q36" s="1544" t="str">
        <f t="shared" si="11"/>
        <v>公共部分装修</v>
      </c>
      <c r="R36" s="3961" t="s">
        <v>13</v>
      </c>
      <c r="S36" s="3328">
        <f t="shared" si="12"/>
        <v>100</v>
      </c>
      <c r="T36" s="3961" t="s">
        <v>13</v>
      </c>
      <c r="U36" s="3328">
        <f t="shared" si="13"/>
        <v>100</v>
      </c>
      <c r="V36" s="3961" t="s">
        <v>13</v>
      </c>
      <c r="W36" s="3328">
        <f t="shared" si="14"/>
        <v>100</v>
      </c>
      <c r="X36" s="946"/>
      <c r="Y36" s="4426"/>
      <c r="Z36" s="944" t="str">
        <f t="shared" si="18"/>
        <v>公共部分装修</v>
      </c>
      <c r="AA36" s="944">
        <f t="shared" si="15"/>
        <v>1</v>
      </c>
      <c r="AB36" s="944">
        <f t="shared" si="16"/>
        <v>1</v>
      </c>
      <c r="AC36" s="944">
        <f t="shared" si="17"/>
        <v>1</v>
      </c>
    </row>
    <row r="37" spans="1:29" s="46" customFormat="1" ht="15">
      <c r="A37" s="282"/>
      <c r="B37" s="2913" t="s">
        <v>1618</v>
      </c>
      <c r="C37" s="2951">
        <f>'数据-取费表'!N6</f>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424"/>
      <c r="Q37" s="1742" t="str">
        <f t="shared" si="11"/>
        <v>成新度</v>
      </c>
      <c r="R37" s="3855" t="s">
        <v>13</v>
      </c>
      <c r="S37" s="3327">
        <f t="shared" si="12"/>
        <v>100</v>
      </c>
      <c r="T37" s="3855" t="s">
        <v>13</v>
      </c>
      <c r="U37" s="3327">
        <f t="shared" si="13"/>
        <v>100</v>
      </c>
      <c r="V37" s="3855" t="s">
        <v>13</v>
      </c>
      <c r="W37" s="3327">
        <f t="shared" si="14"/>
        <v>100</v>
      </c>
      <c r="X37" s="493"/>
      <c r="Y37" s="4426"/>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24" t="s">
        <v>1613</v>
      </c>
      <c r="Q38" s="1544" t="str">
        <f t="shared" si="11"/>
        <v>物业管理</v>
      </c>
      <c r="R38" s="3961" t="s">
        <v>13</v>
      </c>
      <c r="S38" s="3328">
        <f t="shared" si="12"/>
        <v>100</v>
      </c>
      <c r="T38" s="3961" t="s">
        <v>13</v>
      </c>
      <c r="U38" s="3328">
        <f t="shared" si="13"/>
        <v>100</v>
      </c>
      <c r="V38" s="3961" t="s">
        <v>13</v>
      </c>
      <c r="W38" s="3328">
        <f t="shared" si="14"/>
        <v>100</v>
      </c>
      <c r="X38" s="946"/>
      <c r="Y38" s="4426"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v>4</v>
      </c>
      <c r="L39" s="2026"/>
      <c r="M39" s="2021"/>
      <c r="N39" s="2021"/>
      <c r="O39" s="2021"/>
      <c r="P39" s="4424"/>
      <c r="Q39" s="1544" t="str">
        <f t="shared" si="11"/>
        <v>市政基础设施</v>
      </c>
      <c r="R39" s="3961" t="s">
        <v>13</v>
      </c>
      <c r="S39" s="3328">
        <f t="shared" si="12"/>
        <v>100</v>
      </c>
      <c r="T39" s="3961" t="s">
        <v>13</v>
      </c>
      <c r="U39" s="3328">
        <f t="shared" si="13"/>
        <v>100</v>
      </c>
      <c r="V39" s="3961" t="s">
        <v>13</v>
      </c>
      <c r="W39" s="3328">
        <f t="shared" si="14"/>
        <v>100</v>
      </c>
      <c r="X39" s="946"/>
      <c r="Y39" s="4426"/>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24"/>
      <c r="Q40" s="1544" t="str">
        <f t="shared" si="11"/>
        <v>房型</v>
      </c>
      <c r="R40" s="3961" t="s">
        <v>13</v>
      </c>
      <c r="S40" s="3328">
        <f t="shared" si="12"/>
        <v>100</v>
      </c>
      <c r="T40" s="3961" t="s">
        <v>13</v>
      </c>
      <c r="U40" s="3328">
        <f t="shared" si="13"/>
        <v>100</v>
      </c>
      <c r="V40" s="3961" t="s">
        <v>13</v>
      </c>
      <c r="W40" s="3328">
        <f t="shared" si="14"/>
        <v>100</v>
      </c>
      <c r="X40" s="946"/>
      <c r="Y40" s="4426"/>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24"/>
      <c r="Q41" s="392" t="str">
        <f t="shared" si="11"/>
        <v>单套/主力户型建筑面积</v>
      </c>
      <c r="R41" s="3962" t="s">
        <v>13</v>
      </c>
      <c r="S41" s="3329">
        <f t="shared" si="12"/>
        <v>100</v>
      </c>
      <c r="T41" s="3962" t="s">
        <v>13</v>
      </c>
      <c r="U41" s="3329">
        <f t="shared" si="13"/>
        <v>100</v>
      </c>
      <c r="V41" s="3962" t="s">
        <v>13</v>
      </c>
      <c r="W41" s="3329">
        <f t="shared" si="14"/>
        <v>100</v>
      </c>
      <c r="X41" s="494"/>
      <c r="Y41" s="4426"/>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424"/>
      <c r="Q42" s="1544" t="str">
        <f t="shared" si="11"/>
        <v>内部装修</v>
      </c>
      <c r="R42" s="3961" t="s">
        <v>13</v>
      </c>
      <c r="S42" s="3328">
        <f t="shared" si="12"/>
        <v>100</v>
      </c>
      <c r="T42" s="3961" t="s">
        <v>13</v>
      </c>
      <c r="U42" s="3328">
        <f t="shared" si="13"/>
        <v>100</v>
      </c>
      <c r="V42" s="3961" t="s">
        <v>13</v>
      </c>
      <c r="W42" s="3328">
        <f t="shared" si="14"/>
        <v>100</v>
      </c>
      <c r="X42" s="946"/>
      <c r="Y42" s="4426"/>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24"/>
      <c r="Q43" s="1544" t="str">
        <f t="shared" si="11"/>
        <v>内部装修维护情况</v>
      </c>
      <c r="R43" s="3961" t="s">
        <v>13</v>
      </c>
      <c r="S43" s="3328">
        <f t="shared" si="12"/>
        <v>100</v>
      </c>
      <c r="T43" s="3961" t="s">
        <v>13</v>
      </c>
      <c r="U43" s="3328">
        <f t="shared" si="13"/>
        <v>100</v>
      </c>
      <c r="V43" s="3961" t="s">
        <v>13</v>
      </c>
      <c r="W43" s="3328">
        <f t="shared" si="14"/>
        <v>100</v>
      </c>
      <c r="X43" s="946"/>
      <c r="Y43" s="4426"/>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24"/>
      <c r="Q44" s="1742">
        <f t="shared" si="11"/>
        <v>111</v>
      </c>
      <c r="R44" s="3855" t="s">
        <v>13</v>
      </c>
      <c r="S44" s="3327">
        <f t="shared" si="12"/>
        <v>100</v>
      </c>
      <c r="T44" s="3855" t="s">
        <v>13</v>
      </c>
      <c r="U44" s="3327">
        <f t="shared" si="13"/>
        <v>100</v>
      </c>
      <c r="V44" s="3855" t="s">
        <v>13</v>
      </c>
      <c r="W44" s="3327">
        <f t="shared" si="14"/>
        <v>100</v>
      </c>
      <c r="X44" s="493"/>
      <c r="Y44" s="4426"/>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24"/>
      <c r="Q45" s="1544">
        <f t="shared" si="11"/>
        <v>111</v>
      </c>
      <c r="R45" s="3961" t="s">
        <v>13</v>
      </c>
      <c r="S45" s="3328">
        <f t="shared" si="12"/>
        <v>100</v>
      </c>
      <c r="T45" s="3961" t="s">
        <v>13</v>
      </c>
      <c r="U45" s="3328">
        <f t="shared" si="13"/>
        <v>100</v>
      </c>
      <c r="V45" s="3961" t="s">
        <v>13</v>
      </c>
      <c r="W45" s="3328">
        <f t="shared" si="14"/>
        <v>100</v>
      </c>
      <c r="X45" s="946"/>
      <c r="Y45" s="4426"/>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25"/>
      <c r="Q46" s="1544">
        <f t="shared" si="11"/>
        <v>111</v>
      </c>
      <c r="R46" s="3961" t="s">
        <v>13</v>
      </c>
      <c r="S46" s="3328">
        <f t="shared" si="12"/>
        <v>100</v>
      </c>
      <c r="T46" s="3961" t="s">
        <v>13</v>
      </c>
      <c r="U46" s="3328">
        <f t="shared" si="13"/>
        <v>100</v>
      </c>
      <c r="V46" s="3961" t="s">
        <v>13</v>
      </c>
      <c r="W46" s="3328">
        <f t="shared" si="14"/>
        <v>100</v>
      </c>
      <c r="X46" s="946"/>
      <c r="Y46" s="4427"/>
      <c r="Z46" s="944">
        <f t="shared" si="18"/>
        <v>111</v>
      </c>
      <c r="AA46" s="944">
        <f t="shared" si="15"/>
        <v>1</v>
      </c>
      <c r="AB46" s="944">
        <f t="shared" si="16"/>
        <v>1</v>
      </c>
      <c r="AC46" s="944">
        <f t="shared" si="17"/>
        <v>1</v>
      </c>
    </row>
    <row r="47" spans="1:29" ht="14.4">
      <c r="A47" s="287" t="s">
        <v>1625</v>
      </c>
      <c r="B47" s="288"/>
      <c r="C47" s="798" t="s">
        <v>0</v>
      </c>
      <c r="D47" s="289"/>
      <c r="E47" s="3386">
        <f>案例!G1</f>
        <v>105.5</v>
      </c>
      <c r="F47" s="799"/>
      <c r="G47" s="3387">
        <f>案例!G4</f>
        <v>106.1</v>
      </c>
      <c r="H47" s="800"/>
      <c r="I47" s="3386">
        <f>案例!G5</f>
        <v>95.5</v>
      </c>
      <c r="J47" s="800"/>
      <c r="K47" s="2932"/>
      <c r="L47" s="2028"/>
      <c r="M47" s="2021"/>
      <c r="N47" s="2021"/>
      <c r="O47" s="2021"/>
      <c r="P47" s="4419" t="str">
        <f>A47</f>
        <v>成交单价（元/平方米）</v>
      </c>
      <c r="Q47" s="4419"/>
      <c r="R47" s="4420">
        <f>E47</f>
        <v>105.5</v>
      </c>
      <c r="S47" s="4420"/>
      <c r="T47" s="4420">
        <f>G47</f>
        <v>106.1</v>
      </c>
      <c r="U47" s="4420"/>
      <c r="V47" s="4420">
        <f>I47</f>
        <v>95.5</v>
      </c>
      <c r="W47" s="4420"/>
      <c r="X47" s="266"/>
      <c r="Y47" s="496"/>
      <c r="Z47" s="266"/>
      <c r="AA47" s="266"/>
      <c r="AB47" s="266"/>
      <c r="AC47" s="266"/>
    </row>
    <row r="48" spans="1:29" ht="15" thickBot="1">
      <c r="A48" s="290" t="s">
        <v>1626</v>
      </c>
      <c r="B48" s="291"/>
      <c r="C48" s="3959">
        <f>R49</f>
        <v>106.9</v>
      </c>
      <c r="D48" s="4083" t="s">
        <v>2052</v>
      </c>
      <c r="E48" s="3008">
        <f>R48</f>
        <v>112.3</v>
      </c>
      <c r="F48" s="2925"/>
      <c r="G48" s="3007">
        <f>T48</f>
        <v>109.4</v>
      </c>
      <c r="H48" s="2925"/>
      <c r="I48" s="3008">
        <f>V48</f>
        <v>98.9</v>
      </c>
      <c r="J48" s="2925"/>
      <c r="K48" s="2979">
        <f>F48+H48+J48</f>
        <v>0</v>
      </c>
      <c r="L48" s="2028"/>
      <c r="M48" s="2021"/>
      <c r="N48" s="2021"/>
      <c r="O48" s="2021"/>
      <c r="P48" s="4419" t="str">
        <f>A48</f>
        <v>比较价值（元/平方米）</v>
      </c>
      <c r="Q48" s="4419"/>
      <c r="R48" s="4420">
        <f>IF(F1="售价",ROUND(PRODUCT(R47,AA7:AA46),0),ROUND(PRODUCT(R47,AA7:AA46),1))</f>
        <v>112.3</v>
      </c>
      <c r="S48" s="4420"/>
      <c r="T48" s="4420">
        <f>IF(F1="售价",ROUND(PRODUCT(T47,AB7:AB46),0),ROUND(PRODUCT(T47,AB7:AB46),1))</f>
        <v>109.4</v>
      </c>
      <c r="U48" s="4420"/>
      <c r="V48" s="4420">
        <f>IF(F1="售价",ROUND(PRODUCT(V47,AC7:AC46),0),ROUND(PRODUCT(V47,AC7:AC46),1))</f>
        <v>98.9</v>
      </c>
      <c r="W48" s="4420"/>
      <c r="X48" s="266"/>
      <c r="Y48" s="266"/>
      <c r="Z48" s="266"/>
      <c r="AA48" s="266"/>
      <c r="AB48" s="266"/>
      <c r="AC48" s="266"/>
    </row>
    <row r="49" spans="1:29" ht="15" thickBot="1">
      <c r="A49" s="292" t="s">
        <v>1627</v>
      </c>
      <c r="B49" s="293"/>
      <c r="C49" s="3960">
        <f>R49</f>
        <v>106.9</v>
      </c>
      <c r="D49" s="242"/>
      <c r="E49" s="242"/>
      <c r="F49" s="242"/>
      <c r="G49" s="242"/>
      <c r="H49" s="242"/>
      <c r="I49" s="242"/>
      <c r="J49" s="242"/>
      <c r="K49" s="1409"/>
      <c r="L49" s="2028"/>
      <c r="M49" s="2021"/>
      <c r="N49" s="2021"/>
      <c r="O49" s="2021"/>
      <c r="P49" s="4416" t="str">
        <f>A49</f>
        <v>估价对象XX用房的比较价值（楼面单价，元/平方米）</v>
      </c>
      <c r="Q49" s="4417"/>
      <c r="R49" s="4418">
        <f>IF(F1="售价",ROUND(IF(D48="简单平均",AVERAGE(R48:V48),R48*F48+T48*H48+V48*J48),0),ROUND(IF(D48="简单平均",AVERAGE(R48:V48),R48*F48+T48*H48+V48*J48),1))</f>
        <v>106.9</v>
      </c>
      <c r="S49" s="4418"/>
      <c r="T49" s="4418"/>
      <c r="U49" s="4418"/>
      <c r="V49" s="4418"/>
      <c r="W49" s="441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6.4454976303317535E-2</v>
      </c>
      <c r="F52" s="300" t="str">
        <f>IF(OR(E52&gt;=0.3,E52&lt;=-0.3),"超过30%","")</f>
        <v/>
      </c>
      <c r="G52" s="299">
        <f>IF(G47&lt;G48,G48/G47-1,G47/G48-1)</f>
        <v>3.1102733270499616E-2</v>
      </c>
      <c r="H52" s="300" t="str">
        <f>IF(OR(G52&gt;=0.3,G52&lt;=-0.3),"超过30%","")</f>
        <v/>
      </c>
      <c r="I52" s="299">
        <f>IF(I47&lt;I48,I48/I47-1,I47/I48-1)</f>
        <v>3.5602094240837712E-2</v>
      </c>
      <c r="J52" s="300" t="str">
        <f>IF(OR(I52&gt;=0.3,I52&lt;=-0.3),"超过30%","")</f>
        <v/>
      </c>
      <c r="K52" s="2033"/>
      <c r="L52" s="2029"/>
      <c r="M52" s="2021"/>
      <c r="N52" s="2021"/>
      <c r="O52" s="2021"/>
    </row>
    <row r="53" spans="1:29" ht="13.5" customHeight="1">
      <c r="A53" s="2021"/>
      <c r="B53" s="2021"/>
      <c r="C53" s="297" t="s">
        <v>1629</v>
      </c>
      <c r="D53" s="301"/>
      <c r="E53" s="299">
        <f>IF(E48&lt;G48,G48/E48-1,E48/G48-1)</f>
        <v>2.6508226691041914E-2</v>
      </c>
      <c r="F53" s="300" t="str">
        <f>IF(OR(E53&gt;=0.2,E53&lt;=-0.2),"超过20%","")</f>
        <v/>
      </c>
      <c r="G53" s="299">
        <f>IF(G48&lt;I48,I48/G48-1,G48/I48-1)</f>
        <v>0.10616784630940335</v>
      </c>
      <c r="H53" s="300" t="str">
        <f>IF(OR(G53&gt;=0.2,G53&lt;=-0.2),"超过20%","")</f>
        <v/>
      </c>
      <c r="I53" s="299">
        <f>IF(I48&lt;E48,E48/I48-1,I48/E48-1)</f>
        <v>0.13549039433771481</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5.687203791469031E-3</v>
      </c>
      <c r="F54" s="300" t="str">
        <f>IF(OR(E54&gt;=0.3,E54&lt;=-0.3),"超过30%","")</f>
        <v/>
      </c>
      <c r="G54" s="299">
        <f>IF(G47&lt;I47,I47/G47-1,G47/I47-1)</f>
        <v>0.11099476439790568</v>
      </c>
      <c r="H54" s="300" t="str">
        <f>IF(OR(G54&gt;=0.3,G54&lt;=-0.3),"超过30%","")</f>
        <v/>
      </c>
      <c r="I54" s="299">
        <f>IF(I47&lt;E47,E47/I47-1,I47/E47-1)</f>
        <v>0.10471204188481686</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4040</v>
      </c>
      <c r="D88" s="4128" t="s">
        <v>4044</v>
      </c>
      <c r="E88" s="4128" t="s">
        <v>4029</v>
      </c>
      <c r="F88" s="4129" t="s">
        <v>4045</v>
      </c>
      <c r="G88" s="4128" t="s">
        <v>4046</v>
      </c>
      <c r="H88" s="4128" t="s">
        <v>4047</v>
      </c>
      <c r="I88" s="4128" t="s">
        <v>4048</v>
      </c>
      <c r="J88" s="348"/>
      <c r="K88" s="348"/>
      <c r="L88" s="348"/>
      <c r="M88" s="371"/>
      <c r="N88" s="638"/>
      <c r="O88" s="638"/>
      <c r="P88" s="1416"/>
      <c r="Q88" s="303"/>
    </row>
    <row r="89" spans="1:17" s="46" customFormat="1" ht="14.4" thickBot="1">
      <c r="A89" s="258"/>
      <c r="B89" s="337"/>
      <c r="C89" s="372">
        <v>100</v>
      </c>
      <c r="D89" s="338">
        <f t="shared" ref="D89:M89" si="24">C89-$K26</f>
        <v>99</v>
      </c>
      <c r="E89" s="338">
        <f t="shared" si="24"/>
        <v>98</v>
      </c>
      <c r="F89" s="338">
        <f t="shared" si="24"/>
        <v>97</v>
      </c>
      <c r="G89" s="338">
        <f t="shared" si="24"/>
        <v>96</v>
      </c>
      <c r="H89" s="338">
        <f t="shared" si="24"/>
        <v>95</v>
      </c>
      <c r="I89" s="338">
        <f t="shared" si="24"/>
        <v>94</v>
      </c>
      <c r="J89" s="338">
        <f t="shared" si="24"/>
        <v>93</v>
      </c>
      <c r="K89" s="338">
        <f t="shared" si="24"/>
        <v>92</v>
      </c>
      <c r="L89" s="338">
        <f t="shared" si="24"/>
        <v>91</v>
      </c>
      <c r="M89" s="338">
        <f t="shared" si="24"/>
        <v>90</v>
      </c>
      <c r="N89" s="640"/>
      <c r="O89" s="640"/>
      <c r="P89" s="1416"/>
      <c r="Q89" s="303"/>
    </row>
    <row r="90" spans="1:17" s="280" customFormat="1" ht="15" thickTop="1">
      <c r="A90" s="347"/>
      <c r="B90" s="332" t="str">
        <f>B27</f>
        <v>楼层</v>
      </c>
      <c r="C90" s="4133" t="str">
        <f>C27</f>
        <v>14/21（中）</v>
      </c>
      <c r="D90" s="348" t="str">
        <f>案例!E1</f>
        <v>低/11</v>
      </c>
      <c r="E90" s="348" t="s">
        <v>4043</v>
      </c>
      <c r="F90" s="348"/>
      <c r="G90" s="348"/>
      <c r="H90" s="349"/>
      <c r="I90" s="349"/>
      <c r="J90" s="349"/>
      <c r="K90" s="349"/>
      <c r="L90" s="350"/>
      <c r="M90" s="351"/>
      <c r="N90" s="641"/>
      <c r="O90" s="641"/>
      <c r="P90" s="1417"/>
      <c r="Q90" s="352"/>
    </row>
    <row r="91" spans="1:17" s="280" customFormat="1" ht="14.4" thickBot="1">
      <c r="A91" s="347"/>
      <c r="B91" s="337"/>
      <c r="C91" s="353">
        <v>100</v>
      </c>
      <c r="D91" s="353">
        <v>98</v>
      </c>
      <c r="E91" s="353">
        <v>98</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3952</v>
      </c>
      <c r="D100" s="4130" t="s">
        <v>3953</v>
      </c>
      <c r="E100" s="4130" t="s">
        <v>4050</v>
      </c>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28" t="s">
        <v>3955</v>
      </c>
      <c r="D105" s="4128" t="s">
        <v>3957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3995</v>
      </c>
      <c r="D116" s="4128" t="s">
        <v>3996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3959</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48"/>
      <c r="C2" s="4148"/>
      <c r="D2" s="4148"/>
      <c r="E2" s="4148"/>
    </row>
    <row r="3" spans="1:5" ht="17.399999999999999">
      <c r="A3" s="4149" t="str">
        <f>IF(项目基本情况!B9="房地产市场价值","估价结果一览表（市场价值不需“结果表-1”）","估价结果一览表")</f>
        <v>估价结果一览表（市场价值不需“结果表-1”）</v>
      </c>
      <c r="B3" s="4149"/>
      <c r="C3" s="4149"/>
      <c r="D3" s="4149"/>
      <c r="E3" s="4149"/>
    </row>
    <row r="4" spans="1:5" ht="18" thickBot="1">
      <c r="A4" s="1072"/>
      <c r="B4" s="4147" t="s">
        <v>903</v>
      </c>
      <c r="C4" s="4147"/>
      <c r="D4" s="4147"/>
      <c r="E4" s="1072"/>
    </row>
    <row r="5" spans="1:5" ht="16.2" thickTop="1">
      <c r="B5" s="4145" t="s">
        <v>895</v>
      </c>
      <c r="C5" s="1073" t="s">
        <v>896</v>
      </c>
      <c r="D5" s="568">
        <f ca="1">结果表!H101</f>
        <v>585.35929999999996</v>
      </c>
    </row>
    <row r="6" spans="1:5" ht="31.2">
      <c r="B6" s="4145"/>
      <c r="C6" s="1073" t="s">
        <v>897</v>
      </c>
      <c r="D6" s="568" t="str">
        <f ca="1">NUMBERSTRING(INT(D5*10000),2)&amp;"元整"</f>
        <v>伍佰捌拾伍万叁仟伍佰玖拾叁元整</v>
      </c>
    </row>
    <row r="7" spans="1:5" ht="15.6">
      <c r="B7" s="4150"/>
      <c r="C7" s="1074" t="s">
        <v>898</v>
      </c>
      <c r="D7" s="569">
        <f ca="1">结果表!H102</f>
        <v>7636779</v>
      </c>
    </row>
    <row r="8" spans="1:5" ht="15.6">
      <c r="B8" s="4151" t="str">
        <f>结果表!E103</f>
        <v>2.估价师知悉的法定优先受偿款</v>
      </c>
      <c r="C8" s="1075" t="s">
        <v>899</v>
      </c>
      <c r="D8" s="569">
        <f>结果表!H103</f>
        <v>0</v>
      </c>
    </row>
    <row r="9" spans="1:5" ht="15.6">
      <c r="B9" s="4153"/>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44" t="str">
        <f>结果表!E107</f>
        <v>3.房地产抵押价值</v>
      </c>
      <c r="C13" s="1078" t="s">
        <v>896</v>
      </c>
      <c r="D13" s="571">
        <f ca="1">结果表!H107</f>
        <v>585.35929999999996</v>
      </c>
    </row>
    <row r="14" spans="1:5" ht="31.2">
      <c r="B14" s="4145"/>
      <c r="C14" s="1073" t="s">
        <v>897</v>
      </c>
      <c r="D14" s="568" t="str">
        <f ca="1">NUMBERSTRING(INT(D13*10000),2)&amp;"元整"</f>
        <v>伍佰捌拾伍万叁仟伍佰玖拾叁元整</v>
      </c>
    </row>
    <row r="15" spans="1:5" ht="15.6">
      <c r="B15" s="4150"/>
      <c r="C15" s="1074" t="s">
        <v>907</v>
      </c>
      <c r="D15" s="576">
        <f ca="1">结果表!H108</f>
        <v>7636779</v>
      </c>
    </row>
    <row r="16" spans="1:5" ht="15.6">
      <c r="B16" s="4151" t="str">
        <f>结果表!E109</f>
        <v>——</v>
      </c>
      <c r="C16" s="1078" t="s">
        <v>908</v>
      </c>
      <c r="D16" s="1079" t="str">
        <f>结果表!H109</f>
        <v>——</v>
      </c>
    </row>
    <row r="17" spans="1:5" ht="15.6">
      <c r="B17" s="4152"/>
      <c r="C17" s="1073" t="s">
        <v>909</v>
      </c>
      <c r="D17" s="568" t="e">
        <f>NUMBERSTRING(INT(D16*10000),2)&amp;"元整"</f>
        <v>#VALUE!</v>
      </c>
    </row>
    <row r="18" spans="1:5" ht="15.6">
      <c r="B18" s="4153"/>
      <c r="C18" s="1074" t="s">
        <v>898</v>
      </c>
      <c r="D18" s="576" t="str">
        <f>结果表!H110</f>
        <v>——</v>
      </c>
    </row>
    <row r="19" spans="1:5" ht="15.6">
      <c r="B19" s="4144" t="str">
        <f>结果表!E111</f>
        <v>——</v>
      </c>
      <c r="C19" s="1078" t="s">
        <v>896</v>
      </c>
      <c r="D19" s="569" t="str">
        <f>结果表!H111</f>
        <v>——</v>
      </c>
    </row>
    <row r="20" spans="1:5" ht="15.6">
      <c r="B20" s="4145"/>
      <c r="C20" s="1073" t="s">
        <v>909</v>
      </c>
      <c r="D20" s="568" t="e">
        <f>NUMBERSTRING(INT(D19*10000),2)&amp;"元整"</f>
        <v>#VALUE!</v>
      </c>
    </row>
    <row r="21" spans="1:5" ht="16.2" thickBot="1">
      <c r="B21" s="4146"/>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6" sqref="D36"/>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87.55</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316</v>
      </c>
      <c r="C2" s="1478" t="s">
        <v>1852</v>
      </c>
      <c r="D2" s="68" t="s">
        <v>1853</v>
      </c>
      <c r="E2" s="2555" t="s">
        <v>3292</v>
      </c>
      <c r="F2" s="68" t="s">
        <v>1854</v>
      </c>
      <c r="G2" s="69" t="str">
        <f>IF(E2="商业",项目基本情况!B37,IF(E2="办公",项目基本情况!C37,IF(E2="住宅",项目基本情况!D37,IF(E2="工业",项目基本情况!E37,项目基本情况!F37))))</f>
        <v>二级</v>
      </c>
      <c r="H2" s="68" t="s">
        <v>1855</v>
      </c>
      <c r="I2" s="69" t="str">
        <f>IF(E2="商业",项目基本情况!B38,IF(E2="办公",项目基本情况!C38,IF(E2="住宅",项目基本情况!D38,IF(E2="工业",项目基本情况!E38,项目基本情况!F38))))</f>
        <v>Ⅱ—20</v>
      </c>
      <c r="J2" s="1474"/>
      <c r="K2" s="783"/>
      <c r="L2" s="1479" t="s">
        <v>1856</v>
      </c>
      <c r="M2" s="580">
        <f>SUMPRODUCT((区片价!B10:B29=I2)*(区片价!C3:G3=E2)*(区片价!C10:G29))</f>
        <v>28640</v>
      </c>
      <c r="N2" s="582">
        <f>SUMPRODUCT((因素修正幅度!B10:B29=I2)*(因素修正幅度!C3:G3=E2)*(因素修正幅度!C10:G29))</f>
        <v>7.0000000000000007E-2</v>
      </c>
      <c r="O2" s="783"/>
      <c r="P2" s="783"/>
      <c r="Q2" s="783"/>
      <c r="R2" s="836">
        <v>1</v>
      </c>
      <c r="S2" s="2498">
        <f>ROUND(SUMPRODUCT((B106:B110=R2)*(C105:N105=G2)*(C106:N110)),4)</f>
        <v>1.5206</v>
      </c>
      <c r="T2" s="2498">
        <f t="shared" ref="T2:T16" si="0">ROUND($C$5*$C$22*$C$23*$C$24*S2*$C$28,0)</f>
        <v>54842</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36094</v>
      </c>
      <c r="C3" s="1478" t="s">
        <v>1858</v>
      </c>
      <c r="D3" s="68" t="s">
        <v>1859</v>
      </c>
      <c r="E3" s="2553" t="s">
        <v>3300</v>
      </c>
      <c r="F3" s="1480" t="s">
        <v>3998</v>
      </c>
      <c r="G3" s="3050">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1.2072000000000001</v>
      </c>
      <c r="T3" s="2498">
        <f t="shared" si="0"/>
        <v>43539</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1.0430999999999999</v>
      </c>
      <c r="T4" s="2498">
        <f t="shared" si="0"/>
        <v>37621</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33079</v>
      </c>
      <c r="D5" s="3052">
        <f>ROUND(C6*C17+C20,0)</f>
        <v>28640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0.94389999999999996</v>
      </c>
      <c r="T5" s="2498">
        <f t="shared" si="0"/>
        <v>34043</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28640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0.89959999999999996</v>
      </c>
      <c r="T6" s="2498">
        <f t="shared" si="0"/>
        <v>32445</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二级</v>
      </c>
      <c r="Y7" s="838" t="s">
        <v>1873</v>
      </c>
      <c r="Z7" s="839">
        <f>G3</f>
        <v>2.5</v>
      </c>
      <c r="AA7" s="840"/>
      <c r="AB7" s="840"/>
      <c r="AC7" s="841"/>
      <c r="AD7" s="842"/>
      <c r="AE7" s="842"/>
      <c r="AF7" s="842"/>
      <c r="AG7" s="842"/>
      <c r="AH7" s="842"/>
      <c r="AI7" s="842"/>
      <c r="AJ7" s="843"/>
    </row>
    <row r="8" spans="1:36" ht="26.4">
      <c r="A8" s="2450"/>
      <c r="B8" s="68" t="s">
        <v>1874</v>
      </c>
      <c r="C8" s="1502" t="s">
        <v>3999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26" t="s">
        <v>1877</v>
      </c>
      <c r="X8" s="452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28"/>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28"/>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1.155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t="s">
        <v>4000</v>
      </c>
      <c r="D15" s="1519" t="s">
        <v>4020</v>
      </c>
      <c r="E15" s="1520" t="s">
        <v>4012</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1.05</v>
      </c>
      <c r="D16" s="3057">
        <v>1</v>
      </c>
      <c r="E16" s="3057">
        <v>1.1000000000000001</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29" t="s">
        <v>3162</v>
      </c>
      <c r="B20" s="66" t="s">
        <v>1911</v>
      </c>
      <c r="C20" s="3061">
        <f>ROUND(IF(F21="与级别开发程度一致",0,(G21-E21)/C21),0)</f>
        <v>0</v>
      </c>
      <c r="D20" s="2482" t="s">
        <v>1915</v>
      </c>
      <c r="E20" s="2483"/>
      <c r="F20" s="4535" t="s">
        <v>1912</v>
      </c>
      <c r="G20" s="4536"/>
      <c r="H20" s="2469" t="s">
        <v>4001</v>
      </c>
      <c r="I20" s="2469" t="s">
        <v>4002</v>
      </c>
      <c r="J20" s="2470" t="s">
        <v>4003</v>
      </c>
      <c r="K20" s="1521" t="s">
        <v>4004</v>
      </c>
      <c r="L20" s="1521" t="s">
        <v>4005</v>
      </c>
      <c r="M20" s="1521" t="s">
        <v>4006</v>
      </c>
      <c r="N20" s="1521" t="s">
        <v>4007</v>
      </c>
      <c r="O20" s="1522" t="s">
        <v>4022</v>
      </c>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30"/>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375</v>
      </c>
      <c r="F21" s="1623" t="s">
        <v>4021</v>
      </c>
      <c r="G21" s="1624">
        <f>SUM(H21:O21)</f>
        <v>375</v>
      </c>
      <c r="H21" s="1631">
        <f>SUMPRODUCT((七通一平=H20)*(修正!B1:M1=G2)*(修正!B8:M16))</f>
        <v>80</v>
      </c>
      <c r="I21" s="1631">
        <f>SUMPRODUCT((七通一平=I20)*(修正!B1:M1=G2)*(修正!B8:M16))</f>
        <v>70</v>
      </c>
      <c r="J21" s="1632">
        <f>SUMPRODUCT((七通一平=J20)*(修正!B1:M1=G2)*(修正!B8:M16))</f>
        <v>20</v>
      </c>
      <c r="K21" s="1631">
        <f>SUMPRODUCT((七通一平=K20)*(修正!B1:M1=G2)*(修正!B8:M16))</f>
        <v>30</v>
      </c>
      <c r="L21" s="1631">
        <f>SUMPRODUCT((七通一平=L20)*(修正!B1:M1=G2)*(修正!B8:M16))</f>
        <v>45</v>
      </c>
      <c r="M21" s="1631">
        <f>SUMPRODUCT((七通一平=M20)*(修正!B1:M1=G2)*(修正!B8:M16))</f>
        <v>50</v>
      </c>
      <c r="N21" s="1631">
        <f>SUMPRODUCT((七通一平=N20)*(修正!B1:M1=G2)*(修正!B8:M16))</f>
        <v>20</v>
      </c>
      <c r="O21" s="1633">
        <f>SUMPRODUCT((七通一平=O20)*(修正!B1:M1=G2)*(修正!B8:M16))</f>
        <v>60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1.0647</v>
      </c>
      <c r="D23" s="1528" t="s">
        <v>1919</v>
      </c>
      <c r="E23" s="528">
        <v>44197</v>
      </c>
      <c r="F23" s="1528" t="s">
        <v>1920</v>
      </c>
      <c r="G23" s="529">
        <f>'数据-取费表'!B2</f>
        <v>46100</v>
      </c>
      <c r="H23" s="2484" t="s">
        <v>4008</v>
      </c>
      <c r="I23" s="2485" t="str">
        <f>IF(H23="季度增幅（自定义）",SUMIF(N25:N28,E2,O25:O28),"")</f>
        <v/>
      </c>
      <c r="J23" s="2570" t="s">
        <v>4014</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0.9899</v>
      </c>
      <c r="D24" s="1534" t="s">
        <v>1924</v>
      </c>
      <c r="E24" s="928">
        <f>存贷款利率!E28/100</f>
        <v>4.3499999999999997E-2</v>
      </c>
      <c r="F24" s="1534" t="s">
        <v>1916</v>
      </c>
      <c r="G24" s="533">
        <f>SUMIF(M30:Q30,E2,M33:Q33)</f>
        <v>0.05</v>
      </c>
      <c r="H24" s="1534" t="s">
        <v>1925</v>
      </c>
      <c r="I24" s="534">
        <f>SUMIF('数据-取费表'!C6:C15,E2,'数据-取费表'!F6:F15)/COUNTIF('数据-取费表'!C6:C15,E2)</f>
        <v>64.650000000000006</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4009</v>
      </c>
      <c r="C25" s="324">
        <f>IF(B25="容积率修正",IF(G3&lt;10,D26,J26),C27)</f>
        <v>1</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v>
      </c>
      <c r="E26" s="3065">
        <f>ROUNDDOWN(G3,1)</f>
        <v>2.5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5">
        <f>ROUNDUP(G3,1)</f>
        <v>2.5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1.0345</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316</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36066</v>
      </c>
      <c r="D33" s="3073">
        <f>'数据-汇总表'!F19</f>
        <v>87.55</v>
      </c>
      <c r="E33" s="3075">
        <f>ROUND(C33*D33/10000,0)</f>
        <v>316</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9017</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33"/>
      <c r="B37" s="1584" t="s">
        <v>1953</v>
      </c>
      <c r="C37" s="3070">
        <f>ROUND(D5*C22*C23*C24*C28*F37,0)</f>
        <v>21858</v>
      </c>
      <c r="D37" s="3073"/>
      <c r="E37" s="3072">
        <f>ROUND(C37*D37/10000,0)</f>
        <v>0</v>
      </c>
      <c r="F37" s="3037">
        <f>SUMIF(修正!A59:A70,G2,修正!B59:B70)</f>
        <v>0.7</v>
      </c>
      <c r="G37" s="3072">
        <f>ROUND(IF(E2="工业",C37*$M$42,C37*$M$41),0)</f>
        <v>5465</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34"/>
      <c r="B38" s="1516" t="s">
        <v>1954</v>
      </c>
      <c r="C38" s="3070">
        <f>ROUND(D5*C22*C23*C24*C28*F38,0)</f>
        <v>12491</v>
      </c>
      <c r="D38" s="3073"/>
      <c r="E38" s="3072">
        <f t="shared" ref="E38:E42" si="4">ROUND(C38*D38/10000,0)</f>
        <v>0</v>
      </c>
      <c r="F38" s="3037">
        <f>SUMIF(修正!A59:A70,G2,修正!C59:C70)</f>
        <v>0.4</v>
      </c>
      <c r="G38" s="3072">
        <f>ROUND(IF(E2="工业",C38*$M$42,C38*$M$41),0)</f>
        <v>3123</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34"/>
      <c r="B39" s="1516" t="s">
        <v>3165</v>
      </c>
      <c r="C39" s="3070">
        <f>ROUND(D5*C22*C23*C24*C28*F39,0)</f>
        <v>9368</v>
      </c>
      <c r="D39" s="3073"/>
      <c r="E39" s="3072">
        <f t="shared" si="4"/>
        <v>0</v>
      </c>
      <c r="F39" s="3037">
        <f>SUMIF(修正!A59:A70,G2,修正!D59:D70)</f>
        <v>0.3</v>
      </c>
      <c r="G39" s="3072">
        <f>ROUND(IF(E2="工业",C39*$M$42,C39*$M$41),0)</f>
        <v>2342</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9368</v>
      </c>
      <c r="D40" s="3073"/>
      <c r="E40" s="3072">
        <f t="shared" si="4"/>
        <v>0</v>
      </c>
      <c r="F40" s="3068">
        <f>SUMIF(修正!A59:A70,G2,修正!E59:E70)</f>
        <v>0.3</v>
      </c>
      <c r="G40" s="3072">
        <f>ROUND(IF(E2="工业",C40*$M$42,C40*$M$41),0)</f>
        <v>2342</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0.3</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0.2</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1.0345</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7.0000000000000001E-3</v>
      </c>
      <c r="E72" s="517">
        <f>ROUND(SUM(D72:D80),4)</f>
        <v>3.4500000000000003E-2</v>
      </c>
      <c r="F72" s="1338">
        <f>IF(E2="住宅",SUMIF(L1:L12,G2,N1:N12),"——")</f>
        <v>7.0000000000000007E-2</v>
      </c>
      <c r="G72" s="733">
        <v>7.0000000000000001E-3</v>
      </c>
      <c r="H72" s="736">
        <f t="shared" ref="G72:H80" si="18">IFERROR(ROUNDDOWN($F$72*I72/2,4),"——")</f>
        <v>7.0000000000000001E-3</v>
      </c>
      <c r="I72" s="2503">
        <v>0.2</v>
      </c>
      <c r="J72" s="734">
        <f t="shared" ref="J72:J80" si="19">K72+$G72</f>
        <v>1.4E-2</v>
      </c>
      <c r="K72" s="734">
        <f t="shared" ref="K72:K80" si="20">$L72+$G72</f>
        <v>7.0000000000000001E-3</v>
      </c>
      <c r="L72" s="734">
        <v>0</v>
      </c>
      <c r="M72" s="734">
        <f t="shared" ref="M72:N80" si="21">L72-$G72</f>
        <v>-7.0000000000000001E-3</v>
      </c>
      <c r="N72" s="734">
        <f t="shared" si="21"/>
        <v>-1.4E-2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9.1000000000000004E-3</v>
      </c>
      <c r="E73" s="520"/>
      <c r="F73" s="1338"/>
      <c r="G73" s="733">
        <v>9.1000000000000004E-3</v>
      </c>
      <c r="H73" s="736">
        <f t="shared" si="18"/>
        <v>9.1000000000000004E-3</v>
      </c>
      <c r="I73" s="2503">
        <v>0.26</v>
      </c>
      <c r="J73" s="734">
        <f t="shared" si="19"/>
        <v>1.8200000000000001E-2</v>
      </c>
      <c r="K73" s="734">
        <f t="shared" si="20"/>
        <v>9.1000000000000004E-3</v>
      </c>
      <c r="L73" s="734">
        <v>0</v>
      </c>
      <c r="M73" s="734">
        <f t="shared" si="21"/>
        <v>-9.1000000000000004E-3</v>
      </c>
      <c r="N73" s="734">
        <f t="shared" si="21"/>
        <v>-1.8200000000000001E-2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3651</v>
      </c>
      <c r="D74" s="735">
        <f t="shared" si="17"/>
        <v>3.5000000000000001E-3</v>
      </c>
      <c r="E74" s="520"/>
      <c r="F74" s="1338"/>
      <c r="G74" s="733">
        <v>3.5000000000000001E-3</v>
      </c>
      <c r="H74" s="736">
        <f t="shared" si="18"/>
        <v>3.5000000000000001E-3</v>
      </c>
      <c r="I74" s="2503">
        <v>0.1</v>
      </c>
      <c r="J74" s="734">
        <f t="shared" si="19"/>
        <v>7.0000000000000001E-3</v>
      </c>
      <c r="K74" s="734">
        <f t="shared" si="20"/>
        <v>3.5000000000000001E-3</v>
      </c>
      <c r="L74" s="734">
        <v>0</v>
      </c>
      <c r="M74" s="734">
        <f t="shared" si="21"/>
        <v>-3.5000000000000001E-3</v>
      </c>
      <c r="N74" s="734">
        <f t="shared" si="21"/>
        <v>-7.0000000000000001E-3</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3651</v>
      </c>
      <c r="D75" s="735">
        <f t="shared" si="17"/>
        <v>1.6999999999999999E-3</v>
      </c>
      <c r="E75" s="520"/>
      <c r="F75" s="1338"/>
      <c r="G75" s="733">
        <v>1.6999999999999999E-3</v>
      </c>
      <c r="H75" s="736">
        <f t="shared" si="18"/>
        <v>1.6999999999999999E-3</v>
      </c>
      <c r="I75" s="2503">
        <v>0.05</v>
      </c>
      <c r="J75" s="734">
        <f t="shared" si="19"/>
        <v>3.3999999999999998E-3</v>
      </c>
      <c r="K75" s="734">
        <f t="shared" si="20"/>
        <v>1.6999999999999999E-3</v>
      </c>
      <c r="L75" s="734">
        <v>0</v>
      </c>
      <c r="M75" s="734">
        <f t="shared" si="21"/>
        <v>-1.6999999999999999E-3</v>
      </c>
      <c r="N75" s="734">
        <f t="shared" si="21"/>
        <v>-3.3999999999999998E-3</v>
      </c>
      <c r="O75" s="783"/>
      <c r="P75" s="783"/>
      <c r="Q75" s="1476"/>
      <c r="Z75" s="1477"/>
      <c r="AA75" s="1527"/>
      <c r="AG75" s="785"/>
      <c r="AK75" s="1527"/>
    </row>
    <row r="76" spans="1:37" ht="26.4">
      <c r="A76" s="1599" t="s">
        <v>1976</v>
      </c>
      <c r="B76" s="922" t="str">
        <f>估价对象房地状况!C21</f>
        <v>估价对象所在区域公共配套设施齐备情况</v>
      </c>
      <c r="C76" s="1519" t="s">
        <v>3651</v>
      </c>
      <c r="D76" s="735">
        <f t="shared" si="17"/>
        <v>2.8E-3</v>
      </c>
      <c r="E76" s="520"/>
      <c r="F76" s="1338"/>
      <c r="G76" s="733">
        <v>2.8E-3</v>
      </c>
      <c r="H76" s="736">
        <f t="shared" si="18"/>
        <v>2.8E-3</v>
      </c>
      <c r="I76" s="2503">
        <v>0.08</v>
      </c>
      <c r="J76" s="734">
        <f t="shared" si="19"/>
        <v>5.5999999999999999E-3</v>
      </c>
      <c r="K76" s="734">
        <f t="shared" si="20"/>
        <v>2.8E-3</v>
      </c>
      <c r="L76" s="734">
        <v>0</v>
      </c>
      <c r="M76" s="734">
        <f t="shared" si="21"/>
        <v>-2.8E-3</v>
      </c>
      <c r="N76" s="734">
        <f t="shared" si="21"/>
        <v>-5.5999999999999999E-3</v>
      </c>
      <c r="O76" s="783"/>
      <c r="P76" s="783"/>
      <c r="Z76" s="1477"/>
      <c r="AA76" s="1527"/>
      <c r="AG76" s="785"/>
      <c r="AK76" s="1527"/>
    </row>
    <row r="77" spans="1:37" ht="26.4">
      <c r="A77" s="1599" t="s">
        <v>1977</v>
      </c>
      <c r="B77" s="922" t="str">
        <f>估价对象房地状况!C22</f>
        <v>估价对象所在区域基础设施水平</v>
      </c>
      <c r="C77" s="1519" t="s">
        <v>4023</v>
      </c>
      <c r="D77" s="735">
        <f t="shared" si="17"/>
        <v>6.1999999999999998E-3</v>
      </c>
      <c r="E77" s="520"/>
      <c r="F77" s="1338"/>
      <c r="G77" s="733">
        <v>3.0999999999999999E-3</v>
      </c>
      <c r="H77" s="736">
        <f t="shared" si="18"/>
        <v>3.0999999999999999E-3</v>
      </c>
      <c r="I77" s="2503">
        <v>0.09</v>
      </c>
      <c r="J77" s="734">
        <f t="shared" si="19"/>
        <v>6.1999999999999998E-3</v>
      </c>
      <c r="K77" s="734">
        <f t="shared" si="20"/>
        <v>3.0999999999999999E-3</v>
      </c>
      <c r="L77" s="734">
        <v>0</v>
      </c>
      <c r="M77" s="734">
        <f t="shared" si="21"/>
        <v>-3.0999999999999999E-3</v>
      </c>
      <c r="N77" s="734">
        <f t="shared" si="21"/>
        <v>-6.1999999999999998E-3</v>
      </c>
      <c r="O77" s="783"/>
      <c r="P77" s="783"/>
      <c r="Z77" s="1477"/>
      <c r="AA77" s="1527"/>
      <c r="AG77" s="785"/>
      <c r="AK77" s="1527"/>
    </row>
    <row r="78" spans="1:37" ht="36">
      <c r="A78" s="1599" t="s">
        <v>1974</v>
      </c>
      <c r="B78" s="1604" t="s">
        <v>1975</v>
      </c>
      <c r="C78" s="1519" t="s">
        <v>3650</v>
      </c>
      <c r="D78" s="735">
        <f t="shared" si="17"/>
        <v>0</v>
      </c>
      <c r="E78" s="520"/>
      <c r="F78" s="1338"/>
      <c r="G78" s="733">
        <v>1.6999999999999999E-3</v>
      </c>
      <c r="H78" s="736">
        <f t="shared" si="18"/>
        <v>1.6999999999999999E-3</v>
      </c>
      <c r="I78" s="2503">
        <v>0.05</v>
      </c>
      <c r="J78" s="734">
        <f t="shared" si="19"/>
        <v>3.3999999999999998E-3</v>
      </c>
      <c r="K78" s="734">
        <f t="shared" si="20"/>
        <v>1.6999999999999999E-3</v>
      </c>
      <c r="L78" s="734">
        <v>0</v>
      </c>
      <c r="M78" s="734">
        <f t="shared" si="21"/>
        <v>-1.6999999999999999E-3</v>
      </c>
      <c r="N78" s="734">
        <f t="shared" si="21"/>
        <v>-3.3999999999999998E-3</v>
      </c>
      <c r="O78" s="1476"/>
      <c r="P78" s="1476"/>
      <c r="Z78" s="1477"/>
      <c r="AA78" s="1527"/>
      <c r="AG78" s="785"/>
      <c r="AK78" s="1527"/>
    </row>
    <row r="79" spans="1:37" ht="39.6">
      <c r="A79" s="1599" t="s">
        <v>1978</v>
      </c>
      <c r="B79" s="1602" t="str">
        <f>估价对象房地状况!C20</f>
        <v>区域自然环境：；人文环境；综合评价环境状况一般</v>
      </c>
      <c r="C79" s="1519" t="s">
        <v>3651</v>
      </c>
      <c r="D79" s="735">
        <f t="shared" si="17"/>
        <v>4.1999999999999997E-3</v>
      </c>
      <c r="E79" s="520"/>
      <c r="F79" s="1338"/>
      <c r="G79" s="733">
        <v>4.1999999999999997E-3</v>
      </c>
      <c r="H79" s="736">
        <f t="shared" si="18"/>
        <v>4.1999999999999997E-3</v>
      </c>
      <c r="I79" s="2503">
        <v>0.12</v>
      </c>
      <c r="J79" s="734">
        <f t="shared" si="19"/>
        <v>8.3999999999999995E-3</v>
      </c>
      <c r="K79" s="734">
        <f t="shared" si="20"/>
        <v>4.1999999999999997E-3</v>
      </c>
      <c r="L79" s="734">
        <v>0</v>
      </c>
      <c r="M79" s="734">
        <f t="shared" si="21"/>
        <v>-4.1999999999999997E-3</v>
      </c>
      <c r="N79" s="734">
        <f t="shared" si="21"/>
        <v>-8.3999999999999995E-3</v>
      </c>
      <c r="Z79" s="1477"/>
      <c r="AA79" s="1527"/>
      <c r="AG79" s="785"/>
      <c r="AK79" s="1527"/>
    </row>
    <row r="80" spans="1:37" ht="36.6" thickBot="1">
      <c r="A80" s="1606" t="s">
        <v>1985</v>
      </c>
      <c r="B80" s="1610"/>
      <c r="C80" s="1519" t="s">
        <v>3650</v>
      </c>
      <c r="D80" s="735">
        <f t="shared" si="17"/>
        <v>0</v>
      </c>
      <c r="E80" s="521"/>
      <c r="F80" s="1338"/>
      <c r="G80" s="733">
        <v>1.6999999999999999E-3</v>
      </c>
      <c r="H80" s="736">
        <f t="shared" si="18"/>
        <v>1.6999999999999999E-3</v>
      </c>
      <c r="I80" s="2504">
        <v>0.05</v>
      </c>
      <c r="J80" s="734">
        <f t="shared" si="19"/>
        <v>3.3999999999999998E-3</v>
      </c>
      <c r="K80" s="734">
        <f t="shared" si="20"/>
        <v>1.6999999999999999E-3</v>
      </c>
      <c r="L80" s="734">
        <v>0</v>
      </c>
      <c r="M80" s="734">
        <f t="shared" si="21"/>
        <v>-1.6999999999999999E-3</v>
      </c>
      <c r="N80" s="734">
        <f t="shared" si="21"/>
        <v>-3.3999999999999998E-3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31" t="s">
        <v>3200</v>
      </c>
      <c r="B103" s="4531"/>
      <c r="C103" s="4531"/>
      <c r="D103" s="4531"/>
      <c r="E103" s="4531"/>
      <c r="F103" s="4531"/>
      <c r="G103" s="4531"/>
      <c r="H103" s="4531"/>
      <c r="I103" s="4531"/>
      <c r="J103" s="4531"/>
      <c r="K103" s="1330"/>
      <c r="L103" s="1330"/>
      <c r="M103" s="1330"/>
      <c r="N103" s="1330"/>
    </row>
    <row r="104" spans="1:14">
      <c r="A104" s="4532" t="s">
        <v>3201</v>
      </c>
      <c r="B104" s="4532" t="s">
        <v>3202</v>
      </c>
      <c r="C104" s="2525" t="s">
        <v>3203</v>
      </c>
      <c r="D104" s="2526"/>
      <c r="E104" s="2526"/>
      <c r="F104" s="2526"/>
      <c r="G104" s="2526"/>
      <c r="H104" s="2526"/>
      <c r="I104" s="2526"/>
      <c r="J104" s="2527"/>
      <c r="K104" s="2528"/>
      <c r="L104" s="2528"/>
      <c r="M104" s="2528"/>
      <c r="N104" s="2528"/>
    </row>
    <row r="105" spans="1:14">
      <c r="A105" s="4532"/>
      <c r="B105" s="4532"/>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22"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3"/>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3"/>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3"/>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3"/>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3"/>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4"/>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5" t="s">
        <v>3217</v>
      </c>
      <c r="B113" s="4525"/>
      <c r="C113" s="4525"/>
      <c r="D113" s="4525"/>
      <c r="E113" s="4525"/>
      <c r="F113" s="4525"/>
      <c r="G113" s="4525"/>
      <c r="H113" s="4525"/>
      <c r="I113" s="4525"/>
      <c r="J113" s="4525"/>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2.5</v>
      </c>
      <c r="C116" s="2534" t="s">
        <v>3219</v>
      </c>
      <c r="D116" s="2535">
        <f>SUMPRODUCT((A118:A122=F116)*(B117:M117=H116)*B118:M122)</f>
        <v>0.91610000000000003</v>
      </c>
      <c r="E116" s="68" t="s">
        <v>3220</v>
      </c>
      <c r="F116" s="2536" t="str">
        <f>E2</f>
        <v>住宅</v>
      </c>
      <c r="G116" s="68" t="s">
        <v>3221</v>
      </c>
      <c r="H116" s="2536" t="str">
        <f>G2</f>
        <v>二级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0.96930000000000005</v>
      </c>
      <c r="C118" s="2524">
        <f>B118</f>
        <v>0.96930000000000005</v>
      </c>
      <c r="D118" s="2524">
        <f>ROUND(0.949-0.014*B116,4)</f>
        <v>0.91400000000000003</v>
      </c>
      <c r="E118" s="2524">
        <f>D118</f>
        <v>0.91400000000000003</v>
      </c>
      <c r="F118" s="2524">
        <f>E118</f>
        <v>0.91400000000000003</v>
      </c>
      <c r="G118" s="2524">
        <f>F118</f>
        <v>0.91400000000000003</v>
      </c>
      <c r="H118" s="2524">
        <f>G118</f>
        <v>0.91400000000000003</v>
      </c>
      <c r="I118" s="2524">
        <f>ROUND(0.8486-0.018*B116,4)</f>
        <v>0.80359999999999998</v>
      </c>
      <c r="J118" s="2524">
        <f t="shared" ref="J118:M122" si="35">I118</f>
        <v>0.80359999999999998</v>
      </c>
      <c r="K118" s="2524">
        <f t="shared" si="35"/>
        <v>0.80359999999999998</v>
      </c>
      <c r="L118" s="2524">
        <f t="shared" si="35"/>
        <v>0.80359999999999998</v>
      </c>
      <c r="M118" s="2544">
        <f t="shared" si="35"/>
        <v>0.80359999999999998</v>
      </c>
      <c r="N118" s="2532"/>
    </row>
    <row r="119" spans="1:14">
      <c r="A119" s="2492" t="s">
        <v>3235</v>
      </c>
      <c r="B119" s="2524">
        <f>ROUND(0.993-0.0112*B116,4)</f>
        <v>0.96499999999999997</v>
      </c>
      <c r="C119" s="2524">
        <f>B119</f>
        <v>0.96499999999999997</v>
      </c>
      <c r="D119" s="2524">
        <f>ROUND(0.9415-0.0142*B116,4)</f>
        <v>0.90600000000000003</v>
      </c>
      <c r="E119" s="2524">
        <f t="shared" ref="E119:H120" si="36">D119</f>
        <v>0.90600000000000003</v>
      </c>
      <c r="F119" s="2524">
        <f t="shared" si="36"/>
        <v>0.90600000000000003</v>
      </c>
      <c r="G119" s="2524">
        <f t="shared" si="36"/>
        <v>0.90600000000000003</v>
      </c>
      <c r="H119" s="2524">
        <f t="shared" si="36"/>
        <v>0.90600000000000003</v>
      </c>
      <c r="I119" s="2524">
        <f>ROUND(0.838-0.0182*B116,4)</f>
        <v>0.79249999999999998</v>
      </c>
      <c r="J119" s="2524">
        <f t="shared" si="35"/>
        <v>0.79249999999999998</v>
      </c>
      <c r="K119" s="2524">
        <f t="shared" si="35"/>
        <v>0.79249999999999998</v>
      </c>
      <c r="L119" s="2524">
        <f t="shared" si="35"/>
        <v>0.79249999999999998</v>
      </c>
      <c r="M119" s="2544">
        <f t="shared" si="35"/>
        <v>0.79249999999999998</v>
      </c>
      <c r="N119" s="2532"/>
    </row>
    <row r="120" spans="1:14">
      <c r="A120" s="2492" t="s">
        <v>3236</v>
      </c>
      <c r="B120" s="2524">
        <f>ROUND(0.9448-0.0115*B116,4)</f>
        <v>0.91610000000000003</v>
      </c>
      <c r="C120" s="2524">
        <f>B120</f>
        <v>0.91610000000000003</v>
      </c>
      <c r="D120" s="2524">
        <f>ROUND(0.937-0.0145*B116,4)</f>
        <v>0.90080000000000005</v>
      </c>
      <c r="E120" s="2524">
        <f t="shared" si="36"/>
        <v>0.90080000000000005</v>
      </c>
      <c r="F120" s="2524">
        <f t="shared" si="36"/>
        <v>0.90080000000000005</v>
      </c>
      <c r="G120" s="2524">
        <f t="shared" si="36"/>
        <v>0.90080000000000005</v>
      </c>
      <c r="H120" s="2524">
        <f t="shared" si="36"/>
        <v>0.90080000000000005</v>
      </c>
      <c r="I120" s="2524">
        <f>ROUND(0.7965-0.0185*B116,4)</f>
        <v>0.75029999999999997</v>
      </c>
      <c r="J120" s="2524">
        <f t="shared" si="35"/>
        <v>0.75029999999999997</v>
      </c>
      <c r="K120" s="2524">
        <f t="shared" si="35"/>
        <v>0.75029999999999997</v>
      </c>
      <c r="L120" s="2524">
        <f t="shared" si="35"/>
        <v>0.75029999999999997</v>
      </c>
      <c r="M120" s="2544">
        <f t="shared" si="35"/>
        <v>0.75029999999999997</v>
      </c>
      <c r="N120" s="2532"/>
    </row>
    <row r="121" spans="1:14" ht="13.8" thickBot="1">
      <c r="A121" s="2545" t="s">
        <v>3237</v>
      </c>
      <c r="B121" s="2546">
        <f>ROUND(0.7836-0.012*B116,4)</f>
        <v>0.75360000000000005</v>
      </c>
      <c r="C121" s="2546">
        <f>B121</f>
        <v>0.75360000000000005</v>
      </c>
      <c r="D121" s="2546">
        <f>ROUND(0.753-0.015*B116,4)</f>
        <v>0.71550000000000002</v>
      </c>
      <c r="E121" s="2546">
        <f>D121</f>
        <v>0.71550000000000002</v>
      </c>
      <c r="F121" s="2546">
        <f>E121</f>
        <v>0.71550000000000002</v>
      </c>
      <c r="G121" s="2546">
        <f>ROUND(0.6612-0.018*B116,4)</f>
        <v>0.61619999999999997</v>
      </c>
      <c r="H121" s="2546">
        <f>G121</f>
        <v>0.61619999999999997</v>
      </c>
      <c r="I121" s="2546">
        <f>ROUND(0.5905-0.019*B116,4)</f>
        <v>0.54300000000000004</v>
      </c>
      <c r="J121" s="2546">
        <f t="shared" si="35"/>
        <v>0.54300000000000004</v>
      </c>
      <c r="K121" s="2546">
        <f t="shared" si="35"/>
        <v>0.54300000000000004</v>
      </c>
      <c r="L121" s="2546">
        <f t="shared" si="35"/>
        <v>0.54300000000000004</v>
      </c>
      <c r="M121" s="2547">
        <f t="shared" si="35"/>
        <v>0.54300000000000004</v>
      </c>
      <c r="N121" s="2532"/>
    </row>
    <row r="122" spans="1:14">
      <c r="A122" s="2548" t="s">
        <v>2520</v>
      </c>
      <c r="B122" s="2524">
        <f>ROUND(0.9404-0.0106*B116,4)</f>
        <v>0.91390000000000005</v>
      </c>
      <c r="C122" s="2524">
        <f>B122</f>
        <v>0.91390000000000005</v>
      </c>
      <c r="D122" s="2524">
        <f>ROUND(0.8955-0.0135*B116,4)</f>
        <v>0.86180000000000001</v>
      </c>
      <c r="E122" s="2524">
        <f t="shared" ref="E122:H122" si="37">D122</f>
        <v>0.86180000000000001</v>
      </c>
      <c r="F122" s="2524">
        <f t="shared" si="37"/>
        <v>0.86180000000000001</v>
      </c>
      <c r="G122" s="2524">
        <f t="shared" si="37"/>
        <v>0.86180000000000001</v>
      </c>
      <c r="H122" s="2524">
        <f t="shared" si="37"/>
        <v>0.86180000000000001</v>
      </c>
      <c r="I122" s="2524">
        <f>ROUND(0.7632-0.0166*B116,4)</f>
        <v>0.72170000000000001</v>
      </c>
      <c r="J122" s="2524">
        <f t="shared" si="35"/>
        <v>0.72170000000000001</v>
      </c>
      <c r="K122" s="2524">
        <f t="shared" si="35"/>
        <v>0.72170000000000001</v>
      </c>
      <c r="L122" s="2524">
        <f t="shared" si="35"/>
        <v>0.72170000000000001</v>
      </c>
      <c r="M122" s="2544">
        <f t="shared" si="35"/>
        <v>0.72170000000000001</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-33</v>
      </c>
      <c r="C2" s="172" t="s">
        <v>1539</v>
      </c>
      <c r="D2" s="172"/>
      <c r="E2" s="2098"/>
      <c r="F2" s="2098"/>
      <c r="G2" s="2098"/>
      <c r="H2" s="2098"/>
      <c r="I2" s="2098"/>
      <c r="J2" s="2098"/>
      <c r="K2" s="2098"/>
    </row>
    <row r="3" spans="1:33" ht="18" customHeight="1">
      <c r="A3" s="99" t="s">
        <v>1438</v>
      </c>
      <c r="B3" s="2611">
        <f ca="1">ROUND(B2*10000/IF(C1="",'数据-汇总表'!E3,INDIRECT("'数据-取费表'!K"&amp;$K$1)),0)</f>
        <v>-3769</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15" t="s">
        <v>3405</v>
      </c>
      <c r="D6" s="4515"/>
      <c r="E6" s="4515"/>
      <c r="F6" s="4515"/>
      <c r="G6" s="4515"/>
      <c r="H6" s="4515"/>
      <c r="I6" s="4515"/>
      <c r="J6" s="4515"/>
      <c r="K6" s="451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7" t="s">
        <v>3559</v>
      </c>
      <c r="B11" s="4538"/>
      <c r="C11" s="4538"/>
      <c r="D11" s="4538"/>
      <c r="E11" s="4538"/>
      <c r="F11" s="4538"/>
      <c r="G11" s="4538"/>
      <c r="H11" s="4538"/>
      <c r="I11" s="4538"/>
      <c r="J11" s="4538"/>
      <c r="K11" s="4539"/>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33</v>
      </c>
      <c r="D15" s="558"/>
      <c r="E15" s="174"/>
      <c r="F15" s="3407"/>
      <c r="G15" s="3536" t="s">
        <v>3578</v>
      </c>
      <c r="H15" s="554"/>
      <c r="I15" s="554"/>
      <c r="J15" s="554"/>
      <c r="K15" s="555"/>
    </row>
    <row r="16" spans="1:33" s="551" customFormat="1" ht="13.5" customHeight="1">
      <c r="A16" s="3550" t="s">
        <v>3628</v>
      </c>
      <c r="B16" s="3411" t="s">
        <v>3561</v>
      </c>
      <c r="C16" s="3412">
        <f ca="1">SUM(C17:C22)</f>
        <v>39</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31</v>
      </c>
      <c r="D17" s="3414"/>
      <c r="E17" s="3415"/>
      <c r="F17" s="3427"/>
      <c r="G17" s="3537"/>
      <c r="H17" s="3534"/>
      <c r="I17" s="3534"/>
      <c r="J17" s="3534"/>
      <c r="K17" s="3549"/>
    </row>
    <row r="18" spans="1:33" s="551" customFormat="1" ht="13.5" customHeight="1">
      <c r="A18" s="3551" t="s">
        <v>3567</v>
      </c>
      <c r="B18" s="3399" t="s">
        <v>3568</v>
      </c>
      <c r="C18" s="2588">
        <f ca="1">ROUND(C17*F18,0)</f>
        <v>2</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0.02</v>
      </c>
      <c r="G19" s="2584"/>
      <c r="H19" s="3534"/>
      <c r="I19" s="3534"/>
      <c r="J19" s="3534"/>
      <c r="K19" s="3549"/>
    </row>
    <row r="20" spans="1:33" s="551" customFormat="1" ht="13.5" customHeight="1">
      <c r="A20" s="3551" t="s">
        <v>3581</v>
      </c>
      <c r="B20" s="3400" t="s">
        <v>3589</v>
      </c>
      <c r="C20" s="2588">
        <f ca="1">ROUND(D20*E20/10000,0)</f>
        <v>3</v>
      </c>
      <c r="D20" s="3409">
        <f ca="1">IF(C1="",'数据-汇总表'!E3,INDIRECT("'数据-取费表'!K"&amp;$K$1)+INDIRECT("'数据-取费表'!S"&amp;$K$1))</f>
        <v>87.55</v>
      </c>
      <c r="E20" s="3410">
        <f>'数据-取费表'!B35</f>
        <v>360</v>
      </c>
      <c r="F20" s="3409"/>
      <c r="G20" s="2584"/>
      <c r="H20" s="3534"/>
      <c r="I20" s="3534"/>
      <c r="J20" s="554"/>
      <c r="K20" s="555"/>
    </row>
    <row r="21" spans="1:33" s="551" customFormat="1" ht="13.5" customHeight="1">
      <c r="A21" s="3551" t="s">
        <v>3582</v>
      </c>
      <c r="B21" s="3401" t="s">
        <v>3539</v>
      </c>
      <c r="C21" s="2588">
        <f ca="1">ROUND(C17*F21,0)</f>
        <v>1</v>
      </c>
      <c r="D21" s="3416"/>
      <c r="E21" s="3416"/>
      <c r="F21" s="3428">
        <f>'数据-取费表'!B36</f>
        <v>0.02</v>
      </c>
      <c r="G21" s="2584"/>
      <c r="H21" s="556"/>
      <c r="I21" s="556"/>
      <c r="J21" s="556"/>
      <c r="K21" s="3552"/>
    </row>
    <row r="22" spans="1:33" s="551" customFormat="1" ht="13.5" customHeight="1">
      <c r="A22" s="3551" t="s">
        <v>3583</v>
      </c>
      <c r="B22" s="3401" t="s">
        <v>3590</v>
      </c>
      <c r="C22" s="2588">
        <f ca="1">ROUND(C17*F22,0)</f>
        <v>1</v>
      </c>
      <c r="D22" s="3416"/>
      <c r="E22" s="3416"/>
      <c r="F22" s="3428">
        <f>'数据-取费表'!B37</f>
        <v>0.02</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1+0.0005V建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1</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5+0.0036V建</v>
      </c>
      <c r="D28" s="1048"/>
      <c r="E28" s="1048"/>
      <c r="F28" s="3430">
        <f ca="1">IF(C1="",'数据-取费表'!Q16,INDIRECT("'数据-取费表'!q"&amp;$K$1))</f>
        <v>0.12</v>
      </c>
      <c r="G28" s="4540" t="s">
        <v>3575</v>
      </c>
      <c r="H28" s="3534"/>
      <c r="I28" s="3534"/>
      <c r="J28" s="3534"/>
      <c r="K28" s="3549"/>
    </row>
    <row r="29" spans="1:33" s="551" customFormat="1" ht="13.5" customHeight="1">
      <c r="A29" s="3551" t="s">
        <v>3587</v>
      </c>
      <c r="B29" s="3401" t="s">
        <v>3592</v>
      </c>
      <c r="C29" s="2752">
        <f ca="1">ROUND((C16+C23)*F28,0)</f>
        <v>5</v>
      </c>
      <c r="D29" s="1048"/>
      <c r="E29" s="1048"/>
      <c r="F29" s="2832"/>
      <c r="G29" s="4540"/>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47</v>
      </c>
      <c r="D32" s="3422"/>
      <c r="E32" s="3423"/>
      <c r="F32" s="3409"/>
      <c r="G32" s="3544" t="s">
        <v>3565</v>
      </c>
      <c r="H32" s="3545"/>
      <c r="I32" s="3545"/>
      <c r="J32" s="3545"/>
      <c r="K32" s="3555"/>
    </row>
    <row r="33" spans="1:11" s="177" customFormat="1" ht="13.5" customHeight="1">
      <c r="A33" s="3550" t="s">
        <v>3586</v>
      </c>
      <c r="B33" s="3424" t="s">
        <v>3576</v>
      </c>
      <c r="C33" s="3425">
        <f ca="1">ROUND(C32*(1-F33),0)</f>
        <v>14</v>
      </c>
      <c r="D33" s="3426"/>
      <c r="E33" s="3196"/>
      <c r="F33" s="3429">
        <f>IF('数据-取费表'!B24=0,'数据-取费表'!N16,1)</f>
        <v>0.7</v>
      </c>
      <c r="G33" s="3536" t="s">
        <v>3577</v>
      </c>
      <c r="H33" s="3541"/>
      <c r="I33" s="3541"/>
      <c r="J33" s="3541"/>
      <c r="K33" s="3554"/>
    </row>
    <row r="34" spans="1:11" s="549" customFormat="1" ht="16.2" thickBot="1">
      <c r="A34" s="3556">
        <v>4</v>
      </c>
      <c r="B34" s="3557" t="s">
        <v>3634</v>
      </c>
      <c r="C34" s="3558">
        <f ca="1">C13-C15</f>
        <v>-33</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5</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1</v>
      </c>
      <c r="D22" s="3431">
        <f ca="1">IF(C1="",'数据-汇总表'!E5,IF(INDIRECT("'数据-取费表'!c"&amp;$G$1)="住宅",INDIRECT("'数据-取费表'!k"&amp;$G$1),0))</f>
        <v>87.55</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87.55</v>
      </c>
      <c r="E24" s="3432">
        <f>'数据-取费表'!B31</f>
        <v>200</v>
      </c>
      <c r="F24" s="3441"/>
      <c r="G24" s="1375"/>
    </row>
    <row r="25" spans="1:9" s="110" customFormat="1" ht="14.4">
      <c r="A25" s="3404" t="s">
        <v>337</v>
      </c>
      <c r="B25" s="3440" t="s">
        <v>3637</v>
      </c>
      <c r="C25" s="2650">
        <f ca="1">ROUND(E25*D25/10000,0)</f>
        <v>3</v>
      </c>
      <c r="D25" s="3432">
        <f ca="1">D24</f>
        <v>87.55</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0.12</v>
      </c>
      <c r="G30" s="3532"/>
    </row>
    <row r="31" spans="1:9" s="110" customFormat="1" ht="15.6">
      <c r="A31" s="2591" t="s">
        <v>3625</v>
      </c>
      <c r="B31" s="2590" t="s">
        <v>3617</v>
      </c>
      <c r="C31" s="2613">
        <f ca="1">C7+C20+C29+C30</f>
        <v>6</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7</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51" t="s">
        <v>2515</v>
      </c>
      <c r="B20" s="4541" t="s">
        <v>2536</v>
      </c>
      <c r="C20" s="2579" t="s">
        <v>2347</v>
      </c>
      <c r="D20" s="2579"/>
      <c r="E20" s="3226">
        <v>1</v>
      </c>
      <c r="F20" s="2302" t="s">
        <v>2348</v>
      </c>
      <c r="G20" s="2302"/>
    </row>
    <row r="21" spans="1:13" ht="19.5" customHeight="1">
      <c r="A21" s="4552"/>
      <c r="B21" s="4542"/>
      <c r="C21" s="2311" t="s">
        <v>2349</v>
      </c>
      <c r="D21" s="2311"/>
      <c r="E21" s="3227">
        <v>1</v>
      </c>
      <c r="F21" s="2302" t="s">
        <v>2350</v>
      </c>
      <c r="G21" s="2302"/>
    </row>
    <row r="22" spans="1:13" ht="19.5" customHeight="1">
      <c r="A22" s="4552"/>
      <c r="B22" s="4542"/>
      <c r="C22" s="2311" t="s">
        <v>2351</v>
      </c>
      <c r="D22" s="2311"/>
      <c r="E22" s="3227">
        <v>0.9</v>
      </c>
      <c r="F22" s="2302" t="s">
        <v>2352</v>
      </c>
      <c r="G22" s="2302"/>
    </row>
    <row r="23" spans="1:13" ht="19.5" customHeight="1">
      <c r="A23" s="4552"/>
      <c r="B23" s="4542"/>
      <c r="C23" s="2311" t="s">
        <v>2353</v>
      </c>
      <c r="D23" s="2311"/>
      <c r="E23" s="3227">
        <v>0.9</v>
      </c>
      <c r="F23" s="2302" t="s">
        <v>2354</v>
      </c>
      <c r="G23" s="2302"/>
    </row>
    <row r="24" spans="1:13" ht="19.5" customHeight="1">
      <c r="A24" s="4552"/>
      <c r="B24" s="4542"/>
      <c r="C24" s="2311" t="s">
        <v>2355</v>
      </c>
      <c r="D24" s="2311"/>
      <c r="E24" s="3227">
        <v>0.8</v>
      </c>
      <c r="F24" s="2302" t="s">
        <v>2356</v>
      </c>
      <c r="G24" s="2302"/>
    </row>
    <row r="25" spans="1:13" ht="19.5" customHeight="1">
      <c r="A25" s="4552"/>
      <c r="B25" s="4542"/>
      <c r="C25" s="2311" t="s">
        <v>2357</v>
      </c>
      <c r="D25" s="2311"/>
      <c r="E25" s="3227">
        <v>0.8</v>
      </c>
      <c r="F25" s="2302"/>
      <c r="G25" s="2302"/>
    </row>
    <row r="26" spans="1:13" ht="19.5" customHeight="1">
      <c r="A26" s="4552"/>
      <c r="B26" s="4542"/>
      <c r="C26" s="2311" t="s">
        <v>3297</v>
      </c>
      <c r="D26" s="2311"/>
      <c r="E26" s="3227">
        <v>0.43</v>
      </c>
      <c r="F26" s="2302"/>
      <c r="G26" s="2302"/>
    </row>
    <row r="27" spans="1:13" ht="19.5" customHeight="1" thickBot="1">
      <c r="A27" s="4553"/>
      <c r="B27" s="4543"/>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44" t="s">
        <v>2539</v>
      </c>
      <c r="B29" s="4547" t="s">
        <v>2520</v>
      </c>
      <c r="C29" s="2300" t="s">
        <v>2360</v>
      </c>
      <c r="D29" s="2301"/>
      <c r="E29" s="3226">
        <v>1</v>
      </c>
      <c r="F29" s="2302" t="s">
        <v>2361</v>
      </c>
      <c r="G29" s="2302"/>
    </row>
    <row r="30" spans="1:13" ht="19.5" customHeight="1">
      <c r="A30" s="4545"/>
      <c r="B30" s="4548"/>
      <c r="C30" s="2303" t="s">
        <v>2362</v>
      </c>
      <c r="D30" s="2304"/>
      <c r="E30" s="3227">
        <v>1</v>
      </c>
      <c r="F30" s="2302" t="s">
        <v>2363</v>
      </c>
      <c r="G30" s="2302"/>
    </row>
    <row r="31" spans="1:13" ht="19.5" customHeight="1">
      <c r="A31" s="4545"/>
      <c r="B31" s="4548"/>
      <c r="C31" s="2303" t="s">
        <v>2364</v>
      </c>
      <c r="D31" s="2304"/>
      <c r="E31" s="3227">
        <v>0.8</v>
      </c>
      <c r="F31" s="2302" t="s">
        <v>2365</v>
      </c>
      <c r="G31" s="2302"/>
    </row>
    <row r="32" spans="1:13" ht="19.5" customHeight="1">
      <c r="A32" s="4545"/>
      <c r="B32" s="4548"/>
      <c r="C32" s="2303" t="s">
        <v>2366</v>
      </c>
      <c r="D32" s="2304"/>
      <c r="E32" s="3227">
        <v>0.8</v>
      </c>
      <c r="F32" s="2302" t="s">
        <v>2367</v>
      </c>
      <c r="G32" s="2302"/>
    </row>
    <row r="33" spans="1:7" ht="19.5" customHeight="1">
      <c r="A33" s="4545"/>
      <c r="B33" s="4548"/>
      <c r="C33" s="2303" t="s">
        <v>2368</v>
      </c>
      <c r="D33" s="2304"/>
      <c r="E33" s="3227">
        <v>0.8</v>
      </c>
      <c r="F33" s="2302" t="s">
        <v>2369</v>
      </c>
      <c r="G33" s="2302"/>
    </row>
    <row r="34" spans="1:7" ht="19.5" customHeight="1">
      <c r="A34" s="4545"/>
      <c r="B34" s="4548"/>
      <c r="C34" s="2303" t="s">
        <v>2370</v>
      </c>
      <c r="D34" s="2304"/>
      <c r="E34" s="3227">
        <v>0.7</v>
      </c>
      <c r="F34" s="2302" t="s">
        <v>2371</v>
      </c>
      <c r="G34" s="2302"/>
    </row>
    <row r="35" spans="1:7" ht="19.5" customHeight="1">
      <c r="A35" s="4545"/>
      <c r="B35" s="4548"/>
      <c r="C35" s="2303" t="s">
        <v>2372</v>
      </c>
      <c r="D35" s="2304"/>
      <c r="E35" s="3227">
        <v>0.8</v>
      </c>
      <c r="F35" s="2302" t="s">
        <v>2373</v>
      </c>
      <c r="G35" s="2302"/>
    </row>
    <row r="36" spans="1:7" ht="19.5" customHeight="1">
      <c r="A36" s="4545"/>
      <c r="B36" s="4548"/>
      <c r="C36" s="2303" t="s">
        <v>2374</v>
      </c>
      <c r="D36" s="2304"/>
      <c r="E36" s="3227">
        <v>0.6</v>
      </c>
      <c r="F36" s="2302" t="s">
        <v>2375</v>
      </c>
      <c r="G36" s="2302"/>
    </row>
    <row r="37" spans="1:7" ht="19.5" customHeight="1">
      <c r="A37" s="4545"/>
      <c r="B37" s="4548"/>
      <c r="C37" s="2303" t="s">
        <v>2376</v>
      </c>
      <c r="D37" s="2304"/>
      <c r="E37" s="3227">
        <v>0.2</v>
      </c>
      <c r="F37" s="2302" t="s">
        <v>2377</v>
      </c>
      <c r="G37" s="2302"/>
    </row>
    <row r="38" spans="1:7" ht="19.5" customHeight="1">
      <c r="A38" s="4545"/>
      <c r="B38" s="4548"/>
      <c r="C38" s="2303" t="s">
        <v>2378</v>
      </c>
      <c r="D38" s="2304"/>
      <c r="E38" s="3227">
        <v>0.2</v>
      </c>
      <c r="F38" s="2302" t="s">
        <v>2379</v>
      </c>
      <c r="G38" s="2302"/>
    </row>
    <row r="39" spans="1:7" ht="19.5" customHeight="1">
      <c r="A39" s="4545"/>
      <c r="B39" s="4549" t="s">
        <v>2540</v>
      </c>
      <c r="C39" s="2303" t="s">
        <v>2380</v>
      </c>
      <c r="D39" s="2304"/>
      <c r="E39" s="3227">
        <v>0.6</v>
      </c>
      <c r="F39" s="2302" t="s">
        <v>2381</v>
      </c>
      <c r="G39" s="2302"/>
    </row>
    <row r="40" spans="1:7" ht="19.5" customHeight="1">
      <c r="A40" s="4545"/>
      <c r="B40" s="4548"/>
      <c r="C40" s="2303" t="s">
        <v>2382</v>
      </c>
      <c r="D40" s="2304"/>
      <c r="E40" s="3227">
        <v>0.6</v>
      </c>
      <c r="F40" s="2302" t="s">
        <v>2383</v>
      </c>
      <c r="G40" s="2302"/>
    </row>
    <row r="41" spans="1:7" ht="19.5" customHeight="1" thickBot="1">
      <c r="A41" s="4546"/>
      <c r="B41" s="4550"/>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51" t="s">
        <v>2518</v>
      </c>
      <c r="B43" s="4547" t="s">
        <v>2542</v>
      </c>
      <c r="C43" s="2300" t="s">
        <v>2387</v>
      </c>
      <c r="D43" s="2301"/>
      <c r="E43" s="3226">
        <v>1</v>
      </c>
      <c r="F43" s="2302" t="s">
        <v>2388</v>
      </c>
      <c r="G43" s="2302"/>
    </row>
    <row r="44" spans="1:7" ht="19.5" customHeight="1">
      <c r="A44" s="4552"/>
      <c r="B44" s="4548"/>
      <c r="C44" s="2303" t="s">
        <v>2389</v>
      </c>
      <c r="D44" s="2304"/>
      <c r="E44" s="3227">
        <v>1</v>
      </c>
      <c r="F44" s="2302" t="s">
        <v>2390</v>
      </c>
      <c r="G44" s="2302"/>
    </row>
    <row r="45" spans="1:7" ht="19.5" customHeight="1">
      <c r="A45" s="4552"/>
      <c r="B45" s="4554"/>
      <c r="C45" s="2303" t="s">
        <v>2391</v>
      </c>
      <c r="D45" s="2304"/>
      <c r="E45" s="3227">
        <v>1.5</v>
      </c>
      <c r="F45" s="2302" t="s">
        <v>2392</v>
      </c>
      <c r="G45" s="2302"/>
    </row>
    <row r="46" spans="1:7" ht="19.5" customHeight="1">
      <c r="A46" s="4552"/>
      <c r="B46" s="2311" t="s">
        <v>2543</v>
      </c>
      <c r="C46" s="2303" t="s">
        <v>2544</v>
      </c>
      <c r="D46" s="2304"/>
      <c r="E46" s="3227">
        <v>2</v>
      </c>
      <c r="F46" s="2302" t="s">
        <v>2393</v>
      </c>
      <c r="G46" s="2302"/>
    </row>
    <row r="47" spans="1:7" ht="19.5" customHeight="1">
      <c r="A47" s="4552"/>
      <c r="B47" s="4549" t="s">
        <v>2545</v>
      </c>
      <c r="C47" s="2303" t="s">
        <v>2394</v>
      </c>
      <c r="D47" s="2304"/>
      <c r="E47" s="3227">
        <v>1</v>
      </c>
      <c r="F47" s="2302" t="s">
        <v>2395</v>
      </c>
      <c r="G47" s="2302"/>
    </row>
    <row r="48" spans="1:7" ht="19.5" customHeight="1">
      <c r="A48" s="4552"/>
      <c r="B48" s="4548"/>
      <c r="C48" s="2303" t="s">
        <v>2396</v>
      </c>
      <c r="D48" s="2304"/>
      <c r="E48" s="3227">
        <v>1</v>
      </c>
      <c r="F48" s="2302" t="s">
        <v>2397</v>
      </c>
      <c r="G48" s="2302"/>
    </row>
    <row r="49" spans="1:7" ht="19.5" customHeight="1">
      <c r="A49" s="4552"/>
      <c r="B49" s="4548"/>
      <c r="C49" s="2303" t="s">
        <v>2398</v>
      </c>
      <c r="D49" s="2304"/>
      <c r="E49" s="3227">
        <v>1</v>
      </c>
      <c r="F49" s="2302" t="s">
        <v>2399</v>
      </c>
      <c r="G49" s="2302"/>
    </row>
    <row r="50" spans="1:7" ht="19.5" customHeight="1">
      <c r="A50" s="4552"/>
      <c r="B50" s="4548"/>
      <c r="C50" s="2303" t="s">
        <v>2400</v>
      </c>
      <c r="D50" s="2304"/>
      <c r="E50" s="3227">
        <v>1</v>
      </c>
      <c r="F50" s="2302" t="s">
        <v>2401</v>
      </c>
      <c r="G50" s="2302"/>
    </row>
    <row r="51" spans="1:7" ht="19.5" customHeight="1">
      <c r="A51" s="4552"/>
      <c r="B51" s="4548"/>
      <c r="C51" s="2303" t="s">
        <v>2402</v>
      </c>
      <c r="D51" s="2304"/>
      <c r="E51" s="3227">
        <v>1</v>
      </c>
      <c r="F51" s="2302" t="s">
        <v>2403</v>
      </c>
      <c r="G51" s="2302"/>
    </row>
    <row r="52" spans="1:7" ht="19.5" customHeight="1">
      <c r="A52" s="4552"/>
      <c r="B52" s="4548"/>
      <c r="C52" s="2303" t="s">
        <v>2404</v>
      </c>
      <c r="D52" s="2304"/>
      <c r="E52" s="3227">
        <v>1</v>
      </c>
      <c r="F52" s="2302" t="s">
        <v>2405</v>
      </c>
      <c r="G52" s="2302"/>
    </row>
    <row r="53" spans="1:7" ht="19.5" customHeight="1" thickBot="1">
      <c r="A53" s="4553"/>
      <c r="B53" s="4550"/>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49" t="s">
        <v>2559</v>
      </c>
      <c r="C75" s="2291" t="s">
        <v>2560</v>
      </c>
      <c r="D75" s="2291" t="s">
        <v>2561</v>
      </c>
      <c r="E75" s="3232">
        <v>0.2</v>
      </c>
      <c r="F75" s="3233">
        <v>25</v>
      </c>
    </row>
    <row r="76" spans="1:7" ht="24">
      <c r="A76" s="2311">
        <v>2</v>
      </c>
      <c r="B76" s="4548"/>
      <c r="C76" s="2291" t="s">
        <v>2562</v>
      </c>
      <c r="D76" s="2291" t="s">
        <v>2563</v>
      </c>
      <c r="E76" s="3232">
        <v>0.2</v>
      </c>
      <c r="F76" s="3233">
        <v>25</v>
      </c>
    </row>
    <row r="77" spans="1:7" ht="24">
      <c r="A77" s="2311">
        <v>3</v>
      </c>
      <c r="B77" s="4548"/>
      <c r="C77" s="2291" t="s">
        <v>2564</v>
      </c>
      <c r="D77" s="2291" t="s">
        <v>2565</v>
      </c>
      <c r="E77" s="3232">
        <v>0.2</v>
      </c>
      <c r="F77" s="3233">
        <v>25</v>
      </c>
    </row>
    <row r="78" spans="1:7" ht="14.4">
      <c r="A78" s="2311">
        <v>4</v>
      </c>
      <c r="B78" s="4548"/>
      <c r="C78" s="2291" t="s">
        <v>2566</v>
      </c>
      <c r="D78" s="2291" t="s">
        <v>2567</v>
      </c>
      <c r="E78" s="3232">
        <v>0.15</v>
      </c>
      <c r="F78" s="3233">
        <v>20</v>
      </c>
    </row>
    <row r="79" spans="1:7" ht="24">
      <c r="A79" s="2311">
        <v>5</v>
      </c>
      <c r="B79" s="4548"/>
      <c r="C79" s="2291" t="s">
        <v>2568</v>
      </c>
      <c r="D79" s="2291" t="s">
        <v>2569</v>
      </c>
      <c r="E79" s="3232">
        <v>0.15</v>
      </c>
      <c r="F79" s="3233">
        <v>20</v>
      </c>
    </row>
    <row r="80" spans="1:7" ht="24">
      <c r="A80" s="2311">
        <v>6</v>
      </c>
      <c r="B80" s="4548"/>
      <c r="C80" s="2291" t="s">
        <v>2570</v>
      </c>
      <c r="D80" s="2291" t="s">
        <v>2571</v>
      </c>
      <c r="E80" s="3232">
        <v>0.15</v>
      </c>
      <c r="F80" s="3233">
        <v>20</v>
      </c>
    </row>
    <row r="81" spans="1:6" ht="24">
      <c r="A81" s="2311">
        <v>7</v>
      </c>
      <c r="B81" s="4548"/>
      <c r="C81" s="2291" t="s">
        <v>2572</v>
      </c>
      <c r="D81" s="2291" t="s">
        <v>2573</v>
      </c>
      <c r="E81" s="3232">
        <v>0.15</v>
      </c>
      <c r="F81" s="3233">
        <v>20</v>
      </c>
    </row>
    <row r="82" spans="1:6" ht="24">
      <c r="A82" s="2311">
        <v>8</v>
      </c>
      <c r="B82" s="4548"/>
      <c r="C82" s="2291" t="s">
        <v>2574</v>
      </c>
      <c r="D82" s="2291" t="s">
        <v>2575</v>
      </c>
      <c r="E82" s="3232">
        <v>0.1</v>
      </c>
      <c r="F82" s="3233">
        <v>15</v>
      </c>
    </row>
    <row r="83" spans="1:6" ht="24">
      <c r="A83" s="2311">
        <v>9</v>
      </c>
      <c r="B83" s="4548"/>
      <c r="C83" s="2291" t="s">
        <v>2576</v>
      </c>
      <c r="D83" s="2291" t="s">
        <v>2577</v>
      </c>
      <c r="E83" s="3232">
        <v>0.1</v>
      </c>
      <c r="F83" s="3233">
        <v>15</v>
      </c>
    </row>
    <row r="84" spans="1:6" ht="24">
      <c r="A84" s="2311">
        <v>10</v>
      </c>
      <c r="B84" s="4548"/>
      <c r="C84" s="2291" t="s">
        <v>2578</v>
      </c>
      <c r="D84" s="2291" t="s">
        <v>2579</v>
      </c>
      <c r="E84" s="3232">
        <v>0.1</v>
      </c>
      <c r="F84" s="3233">
        <v>15</v>
      </c>
    </row>
    <row r="85" spans="1:6" ht="24">
      <c r="A85" s="2311">
        <v>11</v>
      </c>
      <c r="B85" s="4548"/>
      <c r="C85" s="2291" t="s">
        <v>2580</v>
      </c>
      <c r="D85" s="2291" t="s">
        <v>2581</v>
      </c>
      <c r="E85" s="3232">
        <v>0.1</v>
      </c>
      <c r="F85" s="3233">
        <v>15</v>
      </c>
    </row>
    <row r="86" spans="1:6" ht="24">
      <c r="A86" s="2311">
        <v>12</v>
      </c>
      <c r="B86" s="4548"/>
      <c r="C86" s="2291" t="s">
        <v>2582</v>
      </c>
      <c r="D86" s="2291" t="s">
        <v>2583</v>
      </c>
      <c r="E86" s="3232">
        <v>0.1</v>
      </c>
      <c r="F86" s="3233">
        <v>15</v>
      </c>
    </row>
    <row r="87" spans="1:6" ht="24">
      <c r="A87" s="2311">
        <v>13</v>
      </c>
      <c r="B87" s="4548"/>
      <c r="C87" s="2291" t="s">
        <v>2584</v>
      </c>
      <c r="D87" s="2291" t="s">
        <v>2585</v>
      </c>
      <c r="E87" s="3232">
        <v>0.1</v>
      </c>
      <c r="F87" s="3233">
        <v>15</v>
      </c>
    </row>
    <row r="88" spans="1:6" ht="24">
      <c r="A88" s="2311">
        <v>14</v>
      </c>
      <c r="B88" s="4548"/>
      <c r="C88" s="2291" t="s">
        <v>2586</v>
      </c>
      <c r="D88" s="2291" t="s">
        <v>2587</v>
      </c>
      <c r="E88" s="3232">
        <v>0.1</v>
      </c>
      <c r="F88" s="3233">
        <v>15</v>
      </c>
    </row>
    <row r="89" spans="1:6" ht="24">
      <c r="A89" s="2311">
        <v>15</v>
      </c>
      <c r="B89" s="4548"/>
      <c r="C89" s="2291" t="s">
        <v>2588</v>
      </c>
      <c r="D89" s="2291" t="s">
        <v>2589</v>
      </c>
      <c r="E89" s="3232">
        <v>0.1</v>
      </c>
      <c r="F89" s="3233">
        <v>15</v>
      </c>
    </row>
    <row r="90" spans="1:6" ht="24">
      <c r="A90" s="2311">
        <v>16</v>
      </c>
      <c r="B90" s="4548"/>
      <c r="C90" s="2291" t="s">
        <v>2590</v>
      </c>
      <c r="D90" s="2291" t="s">
        <v>2591</v>
      </c>
      <c r="E90" s="3232">
        <v>0.1</v>
      </c>
      <c r="F90" s="3233">
        <v>15</v>
      </c>
    </row>
    <row r="91" spans="1:6" ht="24">
      <c r="A91" s="2311">
        <v>17</v>
      </c>
      <c r="B91" s="4554"/>
      <c r="C91" s="2291" t="s">
        <v>2592</v>
      </c>
      <c r="D91" s="2291" t="s">
        <v>2593</v>
      </c>
      <c r="E91" s="3232">
        <v>0.1</v>
      </c>
      <c r="F91" s="3233">
        <v>15</v>
      </c>
    </row>
    <row r="92" spans="1:6" ht="14.4">
      <c r="A92" s="2311">
        <v>18</v>
      </c>
      <c r="B92" s="4549" t="s">
        <v>2594</v>
      </c>
      <c r="C92" s="2291" t="s">
        <v>2595</v>
      </c>
      <c r="D92" s="2291" t="s">
        <v>2596</v>
      </c>
      <c r="E92" s="3232">
        <v>0.2</v>
      </c>
      <c r="F92" s="3233">
        <v>25</v>
      </c>
    </row>
    <row r="93" spans="1:6" ht="24">
      <c r="A93" s="2311">
        <v>19</v>
      </c>
      <c r="B93" s="4548"/>
      <c r="C93" s="2291" t="s">
        <v>2597</v>
      </c>
      <c r="D93" s="2291" t="s">
        <v>2598</v>
      </c>
      <c r="E93" s="3232">
        <v>0.2</v>
      </c>
      <c r="F93" s="3233">
        <v>25</v>
      </c>
    </row>
    <row r="94" spans="1:6" ht="14.4">
      <c r="A94" s="2311">
        <v>20</v>
      </c>
      <c r="B94" s="4548"/>
      <c r="C94" s="2291" t="s">
        <v>2599</v>
      </c>
      <c r="D94" s="2291" t="s">
        <v>2600</v>
      </c>
      <c r="E94" s="3232">
        <v>0.15</v>
      </c>
      <c r="F94" s="3233">
        <v>20</v>
      </c>
    </row>
    <row r="95" spans="1:6" ht="24">
      <c r="A95" s="2311">
        <v>21</v>
      </c>
      <c r="B95" s="4548"/>
      <c r="C95" s="2291" t="s">
        <v>2601</v>
      </c>
      <c r="D95" s="2291" t="s">
        <v>2602</v>
      </c>
      <c r="E95" s="3232">
        <v>0.15</v>
      </c>
      <c r="F95" s="3233">
        <v>20</v>
      </c>
    </row>
    <row r="96" spans="1:6" ht="24">
      <c r="A96" s="2311">
        <v>22</v>
      </c>
      <c r="B96" s="4548"/>
      <c r="C96" s="2291" t="s">
        <v>2603</v>
      </c>
      <c r="D96" s="2291" t="s">
        <v>2604</v>
      </c>
      <c r="E96" s="3232">
        <v>0.15</v>
      </c>
      <c r="F96" s="3233">
        <v>20</v>
      </c>
    </row>
    <row r="97" spans="1:6" ht="36">
      <c r="A97" s="2311">
        <v>23</v>
      </c>
      <c r="B97" s="4548"/>
      <c r="C97" s="2291" t="s">
        <v>2605</v>
      </c>
      <c r="D97" s="2291" t="s">
        <v>2606</v>
      </c>
      <c r="E97" s="3232">
        <v>0.15</v>
      </c>
      <c r="F97" s="3233">
        <v>20</v>
      </c>
    </row>
    <row r="98" spans="1:6" ht="24">
      <c r="A98" s="2311">
        <v>24</v>
      </c>
      <c r="B98" s="4548"/>
      <c r="C98" s="2291" t="s">
        <v>2607</v>
      </c>
      <c r="D98" s="2291" t="s">
        <v>2608</v>
      </c>
      <c r="E98" s="3232">
        <v>0.1</v>
      </c>
      <c r="F98" s="3233">
        <v>15</v>
      </c>
    </row>
    <row r="99" spans="1:6" ht="24">
      <c r="A99" s="2311">
        <v>25</v>
      </c>
      <c r="B99" s="4548"/>
      <c r="C99" s="2291" t="s">
        <v>2609</v>
      </c>
      <c r="D99" s="2291" t="s">
        <v>2610</v>
      </c>
      <c r="E99" s="3232">
        <v>0.1</v>
      </c>
      <c r="F99" s="3233">
        <v>15</v>
      </c>
    </row>
    <row r="100" spans="1:6" ht="24">
      <c r="A100" s="2311">
        <v>26</v>
      </c>
      <c r="B100" s="4548"/>
      <c r="C100" s="2291" t="s">
        <v>2611</v>
      </c>
      <c r="D100" s="2291" t="s">
        <v>2612</v>
      </c>
      <c r="E100" s="3232">
        <v>0.1</v>
      </c>
      <c r="F100" s="3233">
        <v>15</v>
      </c>
    </row>
    <row r="101" spans="1:6" ht="24">
      <c r="A101" s="2311">
        <v>27</v>
      </c>
      <c r="B101" s="4548"/>
      <c r="C101" s="2291" t="s">
        <v>2613</v>
      </c>
      <c r="D101" s="2291" t="s">
        <v>2614</v>
      </c>
      <c r="E101" s="3232">
        <v>0.1</v>
      </c>
      <c r="F101" s="3233">
        <v>15</v>
      </c>
    </row>
    <row r="102" spans="1:6" ht="24">
      <c r="A102" s="2311">
        <v>28</v>
      </c>
      <c r="B102" s="4548"/>
      <c r="C102" s="2291" t="s">
        <v>2615</v>
      </c>
      <c r="D102" s="2291" t="s">
        <v>2616</v>
      </c>
      <c r="E102" s="3232">
        <v>0.1</v>
      </c>
      <c r="F102" s="3233">
        <v>15</v>
      </c>
    </row>
    <row r="103" spans="1:6" ht="24">
      <c r="A103" s="2311">
        <v>29</v>
      </c>
      <c r="B103" s="4548"/>
      <c r="C103" s="2291" t="s">
        <v>2617</v>
      </c>
      <c r="D103" s="2291" t="s">
        <v>2618</v>
      </c>
      <c r="E103" s="3232">
        <v>0.1</v>
      </c>
      <c r="F103" s="3233">
        <v>15</v>
      </c>
    </row>
    <row r="104" spans="1:6" ht="24">
      <c r="A104" s="2311">
        <v>30</v>
      </c>
      <c r="B104" s="4548"/>
      <c r="C104" s="2291" t="s">
        <v>2619</v>
      </c>
      <c r="D104" s="2291" t="s">
        <v>2620</v>
      </c>
      <c r="E104" s="3232">
        <v>0.1</v>
      </c>
      <c r="F104" s="3233">
        <v>15</v>
      </c>
    </row>
    <row r="105" spans="1:6" ht="24">
      <c r="A105" s="2311">
        <v>31</v>
      </c>
      <c r="B105" s="4548"/>
      <c r="C105" s="2291" t="s">
        <v>2621</v>
      </c>
      <c r="D105" s="2291" t="s">
        <v>2622</v>
      </c>
      <c r="E105" s="3232">
        <v>0.1</v>
      </c>
      <c r="F105" s="3233">
        <v>15</v>
      </c>
    </row>
    <row r="106" spans="1:6" ht="24">
      <c r="A106" s="2311">
        <v>32</v>
      </c>
      <c r="B106" s="4548"/>
      <c r="C106" s="2291" t="s">
        <v>2623</v>
      </c>
      <c r="D106" s="2291" t="s">
        <v>2624</v>
      </c>
      <c r="E106" s="3232">
        <v>0.1</v>
      </c>
      <c r="F106" s="3233">
        <v>15</v>
      </c>
    </row>
    <row r="107" spans="1:6" ht="24">
      <c r="A107" s="2311">
        <v>33</v>
      </c>
      <c r="B107" s="4548"/>
      <c r="C107" s="2291" t="s">
        <v>2625</v>
      </c>
      <c r="D107" s="2291" t="s">
        <v>2626</v>
      </c>
      <c r="E107" s="3232">
        <v>0.1</v>
      </c>
      <c r="F107" s="3233">
        <v>15</v>
      </c>
    </row>
    <row r="108" spans="1:6" ht="24">
      <c r="A108" s="2311">
        <v>34</v>
      </c>
      <c r="B108" s="4554"/>
      <c r="C108" s="2291" t="s">
        <v>2627</v>
      </c>
      <c r="D108" s="2291" t="s">
        <v>2628</v>
      </c>
      <c r="E108" s="3232">
        <v>0.1</v>
      </c>
      <c r="F108" s="3233">
        <v>15</v>
      </c>
    </row>
    <row r="109" spans="1:6" ht="36">
      <c r="A109" s="2311">
        <v>35</v>
      </c>
      <c r="B109" s="4549" t="s">
        <v>2629</v>
      </c>
      <c r="C109" s="2311" t="s">
        <v>2630</v>
      </c>
      <c r="D109" s="2291" t="s">
        <v>2631</v>
      </c>
      <c r="E109" s="3232">
        <v>0.15</v>
      </c>
      <c r="F109" s="3233">
        <v>20</v>
      </c>
    </row>
    <row r="110" spans="1:6" ht="24">
      <c r="A110" s="2311">
        <v>36</v>
      </c>
      <c r="B110" s="4548"/>
      <c r="C110" s="2311" t="s">
        <v>2632</v>
      </c>
      <c r="D110" s="2291" t="s">
        <v>2633</v>
      </c>
      <c r="E110" s="3232">
        <v>0.15</v>
      </c>
      <c r="F110" s="3233">
        <v>20</v>
      </c>
    </row>
    <row r="111" spans="1:6" ht="24">
      <c r="A111" s="2311">
        <v>37</v>
      </c>
      <c r="B111" s="4548"/>
      <c r="C111" s="2311" t="s">
        <v>2634</v>
      </c>
      <c r="D111" s="2291" t="s">
        <v>2635</v>
      </c>
      <c r="E111" s="3232">
        <v>0.15</v>
      </c>
      <c r="F111" s="3233">
        <v>20</v>
      </c>
    </row>
    <row r="112" spans="1:6" ht="24">
      <c r="A112" s="2311">
        <v>38</v>
      </c>
      <c r="B112" s="4548"/>
      <c r="C112" s="2311" t="s">
        <v>2636</v>
      </c>
      <c r="D112" s="2291" t="s">
        <v>2637</v>
      </c>
      <c r="E112" s="3232">
        <v>0.1</v>
      </c>
      <c r="F112" s="3233">
        <v>15</v>
      </c>
    </row>
    <row r="113" spans="1:6" ht="24">
      <c r="A113" s="2311">
        <v>39</v>
      </c>
      <c r="B113" s="4548"/>
      <c r="C113" s="2311" t="s">
        <v>2638</v>
      </c>
      <c r="D113" s="2291" t="s">
        <v>2639</v>
      </c>
      <c r="E113" s="3232">
        <v>0.1</v>
      </c>
      <c r="F113" s="3233">
        <v>15</v>
      </c>
    </row>
    <row r="114" spans="1:6" ht="24">
      <c r="A114" s="2311">
        <v>40</v>
      </c>
      <c r="B114" s="4554"/>
      <c r="C114" s="2311" t="s">
        <v>2640</v>
      </c>
      <c r="D114" s="2291" t="s">
        <v>2641</v>
      </c>
      <c r="E114" s="3232">
        <v>0.1</v>
      </c>
      <c r="F114" s="3233">
        <v>15</v>
      </c>
    </row>
    <row r="115" spans="1:6" ht="24">
      <c r="A115" s="2311">
        <v>41</v>
      </c>
      <c r="B115" s="4542" t="s">
        <v>2642</v>
      </c>
      <c r="C115" s="2311" t="s">
        <v>2643</v>
      </c>
      <c r="D115" s="2291" t="s">
        <v>2644</v>
      </c>
      <c r="E115" s="3232">
        <v>0.1</v>
      </c>
      <c r="F115" s="3233">
        <v>15</v>
      </c>
    </row>
    <row r="116" spans="1:6" ht="24">
      <c r="A116" s="2311">
        <v>42</v>
      </c>
      <c r="B116" s="4542"/>
      <c r="C116" s="2311" t="s">
        <v>2645</v>
      </c>
      <c r="D116" s="2291" t="s">
        <v>2646</v>
      </c>
      <c r="E116" s="3232">
        <v>0.1</v>
      </c>
      <c r="F116" s="3233">
        <v>15</v>
      </c>
    </row>
    <row r="117" spans="1:6" ht="24">
      <c r="A117" s="2311">
        <v>43</v>
      </c>
      <c r="B117" s="4542"/>
      <c r="C117" s="2311" t="s">
        <v>2647</v>
      </c>
      <c r="D117" s="2291" t="s">
        <v>2648</v>
      </c>
      <c r="E117" s="3232">
        <v>0.1</v>
      </c>
      <c r="F117" s="3233">
        <v>15</v>
      </c>
    </row>
    <row r="118" spans="1:6" ht="24">
      <c r="A118" s="2311">
        <v>44</v>
      </c>
      <c r="B118" s="4549" t="s">
        <v>2649</v>
      </c>
      <c r="C118" s="2311" t="s">
        <v>2650</v>
      </c>
      <c r="D118" s="2291" t="s">
        <v>2651</v>
      </c>
      <c r="E118" s="3232">
        <v>0.1</v>
      </c>
      <c r="F118" s="3233">
        <v>15</v>
      </c>
    </row>
    <row r="119" spans="1:6" ht="24">
      <c r="A119" s="2311">
        <v>45</v>
      </c>
      <c r="B119" s="4554"/>
      <c r="C119" s="2291" t="s">
        <v>2652</v>
      </c>
      <c r="D119" s="2291" t="s">
        <v>2653</v>
      </c>
      <c r="E119" s="3232">
        <v>0.1</v>
      </c>
      <c r="F119" s="3233">
        <v>15</v>
      </c>
    </row>
    <row r="120" spans="1:6" ht="24">
      <c r="A120" s="2311">
        <v>46</v>
      </c>
      <c r="B120" s="4549" t="s">
        <v>2654</v>
      </c>
      <c r="C120" s="2311" t="s">
        <v>2655</v>
      </c>
      <c r="D120" s="2291" t="s">
        <v>2656</v>
      </c>
      <c r="E120" s="3232">
        <v>0.1</v>
      </c>
      <c r="F120" s="3233">
        <v>15</v>
      </c>
    </row>
    <row r="121" spans="1:6" ht="24">
      <c r="A121" s="2311">
        <v>47</v>
      </c>
      <c r="B121" s="4554"/>
      <c r="C121" s="2311" t="s">
        <v>2657</v>
      </c>
      <c r="D121" s="2291" t="s">
        <v>2658</v>
      </c>
      <c r="E121" s="3232">
        <v>0.1</v>
      </c>
      <c r="F121" s="3233">
        <v>15</v>
      </c>
    </row>
    <row r="122" spans="1:6" ht="24">
      <c r="A122" s="2311">
        <v>48</v>
      </c>
      <c r="B122" s="4549" t="s">
        <v>2659</v>
      </c>
      <c r="C122" s="2311" t="s">
        <v>2660</v>
      </c>
      <c r="D122" s="2291" t="s">
        <v>2661</v>
      </c>
      <c r="E122" s="3232">
        <v>0.1</v>
      </c>
      <c r="F122" s="3233">
        <v>15</v>
      </c>
    </row>
    <row r="123" spans="1:6" ht="24">
      <c r="A123" s="2311">
        <v>49</v>
      </c>
      <c r="B123" s="4554"/>
      <c r="C123" s="2311" t="s">
        <v>2662</v>
      </c>
      <c r="D123" s="2291" t="s">
        <v>2663</v>
      </c>
      <c r="E123" s="3232">
        <v>0.1</v>
      </c>
      <c r="F123" s="3233">
        <v>15</v>
      </c>
    </row>
    <row r="124" spans="1:6" ht="24">
      <c r="A124" s="2311">
        <v>50</v>
      </c>
      <c r="B124" s="4542" t="s">
        <v>2664</v>
      </c>
      <c r="C124" s="2311" t="s">
        <v>2665</v>
      </c>
      <c r="D124" s="2291" t="s">
        <v>2666</v>
      </c>
      <c r="E124" s="3232">
        <v>0.1</v>
      </c>
      <c r="F124" s="3233">
        <v>15</v>
      </c>
    </row>
    <row r="125" spans="1:6" ht="24">
      <c r="A125" s="2311">
        <v>51</v>
      </c>
      <c r="B125" s="4542"/>
      <c r="C125" s="2311" t="s">
        <v>2667</v>
      </c>
      <c r="D125" s="2291" t="s">
        <v>2668</v>
      </c>
      <c r="E125" s="3232">
        <v>0.1</v>
      </c>
      <c r="F125" s="3233">
        <v>15</v>
      </c>
    </row>
    <row r="126" spans="1:6" ht="24">
      <c r="A126" s="2311">
        <v>52</v>
      </c>
      <c r="B126" s="4542" t="s">
        <v>2669</v>
      </c>
      <c r="C126" s="2311" t="s">
        <v>2670</v>
      </c>
      <c r="D126" s="2291" t="s">
        <v>2671</v>
      </c>
      <c r="E126" s="3232">
        <v>0.1</v>
      </c>
      <c r="F126" s="3233">
        <v>15</v>
      </c>
    </row>
    <row r="127" spans="1:6" ht="24">
      <c r="A127" s="2311">
        <v>53</v>
      </c>
      <c r="B127" s="4542"/>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42" t="s">
        <v>2677</v>
      </c>
      <c r="C129" s="2311" t="s">
        <v>2678</v>
      </c>
      <c r="D129" s="2291" t="s">
        <v>2679</v>
      </c>
      <c r="E129" s="3232">
        <v>0.1</v>
      </c>
      <c r="F129" s="3233">
        <v>15</v>
      </c>
    </row>
    <row r="130" spans="1:6" ht="24">
      <c r="A130" s="2311">
        <v>56</v>
      </c>
      <c r="B130" s="4542"/>
      <c r="C130" s="2311" t="s">
        <v>2680</v>
      </c>
      <c r="D130" s="2291" t="s">
        <v>2681</v>
      </c>
      <c r="E130" s="3232">
        <v>0.1</v>
      </c>
      <c r="F130" s="3233">
        <v>15</v>
      </c>
    </row>
    <row r="131" spans="1:6" ht="24">
      <c r="A131" s="2311">
        <v>57</v>
      </c>
      <c r="B131" s="4542"/>
      <c r="C131" s="2311" t="s">
        <v>2682</v>
      </c>
      <c r="D131" s="2291" t="s">
        <v>2683</v>
      </c>
      <c r="E131" s="3232">
        <v>0.1</v>
      </c>
      <c r="F131" s="3233">
        <v>15</v>
      </c>
    </row>
    <row r="132" spans="1:6" ht="24">
      <c r="A132" s="2311">
        <v>58</v>
      </c>
      <c r="B132" s="4542" t="s">
        <v>2684</v>
      </c>
      <c r="C132" s="2311" t="s">
        <v>2685</v>
      </c>
      <c r="D132" s="2291" t="s">
        <v>2686</v>
      </c>
      <c r="E132" s="3232">
        <v>0.1</v>
      </c>
      <c r="F132" s="3233">
        <v>15</v>
      </c>
    </row>
    <row r="133" spans="1:6" ht="24">
      <c r="A133" s="2311">
        <v>59</v>
      </c>
      <c r="B133" s="4542"/>
      <c r="C133" s="2311" t="s">
        <v>2687</v>
      </c>
      <c r="D133" s="2291" t="s">
        <v>2688</v>
      </c>
      <c r="E133" s="3232">
        <v>0.1</v>
      </c>
      <c r="F133" s="3233">
        <v>15</v>
      </c>
    </row>
    <row r="134" spans="1:6" ht="24">
      <c r="A134" s="2311">
        <v>60</v>
      </c>
      <c r="B134" s="4549" t="s">
        <v>2689</v>
      </c>
      <c r="C134" s="2311" t="s">
        <v>2690</v>
      </c>
      <c r="D134" s="2291" t="s">
        <v>2691</v>
      </c>
      <c r="E134" s="3232">
        <v>0.1</v>
      </c>
      <c r="F134" s="3233">
        <v>15</v>
      </c>
    </row>
    <row r="135" spans="1:6" ht="24">
      <c r="A135" s="2311">
        <v>61</v>
      </c>
      <c r="B135" s="4554"/>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42" t="s">
        <v>2697</v>
      </c>
      <c r="C137" s="2311" t="s">
        <v>2698</v>
      </c>
      <c r="D137" s="2291" t="s">
        <v>2699</v>
      </c>
      <c r="E137" s="3232">
        <v>0.1</v>
      </c>
      <c r="F137" s="3233">
        <v>15</v>
      </c>
    </row>
    <row r="138" spans="1:6" ht="24">
      <c r="A138" s="2311">
        <v>64</v>
      </c>
      <c r="B138" s="4542"/>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1.0558000000000001</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24814</v>
      </c>
      <c r="C2" s="2" t="s">
        <v>104</v>
      </c>
      <c r="D2" s="95"/>
      <c r="E2" s="95"/>
      <c r="F2" s="95"/>
      <c r="G2" s="95"/>
    </row>
    <row r="3" spans="1:7" s="96" customFormat="1" ht="18" customHeight="1" thickBot="1">
      <c r="A3" s="99" t="s">
        <v>56</v>
      </c>
      <c r="B3" s="100">
        <f ca="1">ROUND(B2*10000/'数据-汇总表'!E3,0)</f>
        <v>2834266</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v>
      </c>
      <c r="D9" s="566">
        <f>'数据-汇总表'!E5</f>
        <v>87.55</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87.55</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6.4">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31</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0.02</v>
      </c>
      <c r="G36" s="156" t="s">
        <v>33</v>
      </c>
    </row>
    <row r="37" spans="1:7" s="154" customFormat="1" ht="13.5" customHeight="1">
      <c r="A37" s="541" t="s">
        <v>351</v>
      </c>
      <c r="B37" s="111" t="s">
        <v>89</v>
      </c>
      <c r="C37" s="145">
        <f>ROUND(E37*D37*F34/10000,0)</f>
        <v>3</v>
      </c>
      <c r="D37" s="113">
        <f>'数据-汇总表'!E3</f>
        <v>87.55</v>
      </c>
      <c r="E37" s="145">
        <f>'数据-取费表'!B35</f>
        <v>360</v>
      </c>
      <c r="F37" s="155"/>
      <c r="G37" s="157" t="s">
        <v>90</v>
      </c>
    </row>
    <row r="38" spans="1:7" ht="13.5" customHeight="1">
      <c r="A38" s="541" t="s">
        <v>352</v>
      </c>
      <c r="B38" s="111" t="s">
        <v>34</v>
      </c>
      <c r="C38" s="116">
        <f>ROUND(C34*F38,0)</f>
        <v>1</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v>
      </c>
      <c r="D42" s="134"/>
      <c r="E42" s="134"/>
      <c r="F42" s="135"/>
      <c r="G42" s="4348" t="s">
        <v>92</v>
      </c>
    </row>
    <row r="43" spans="1:7" ht="13.5" customHeight="1">
      <c r="A43" s="541" t="s">
        <v>345</v>
      </c>
      <c r="B43" s="111" t="s">
        <v>420</v>
      </c>
      <c r="C43" s="134">
        <f ca="1">ROUND(IF('数据-取费表'!B22&lt;=1,C39*F22*'数据-取费表'!B21/2,C39*(POWER((1+F22),'数据-取费表'!B21/2)-1)),0)</f>
        <v>0</v>
      </c>
      <c r="D43" s="134"/>
      <c r="E43" s="134"/>
      <c r="F43" s="135"/>
      <c r="G43" s="4350"/>
    </row>
    <row r="44" spans="1:7" ht="13.5" customHeight="1">
      <c r="A44" s="541" t="s">
        <v>346</v>
      </c>
      <c r="B44" s="111" t="s">
        <v>422</v>
      </c>
      <c r="C44" s="134">
        <f ca="1">ROUND(IF('数据-取费表'!B22&lt;=1,C40*F22*'数据-取费表'!B21/2,C40*(POWER((1+F22),'数据-取费表'!B21/2)-1)),4)</f>
        <v>5.0000000000000001E-4</v>
      </c>
      <c r="D44" s="134"/>
      <c r="E44" s="134"/>
      <c r="F44" s="135"/>
      <c r="G44" s="4349"/>
    </row>
    <row r="45" spans="1:7" s="110" customFormat="1" ht="13.5" customHeight="1">
      <c r="A45" s="538" t="s">
        <v>339</v>
      </c>
      <c r="B45" s="140" t="s">
        <v>83</v>
      </c>
      <c r="C45" s="141">
        <f>C46</f>
        <v>5</v>
      </c>
      <c r="D45" s="131">
        <f>C47</f>
        <v>3.5999999999999999E-3</v>
      </c>
      <c r="E45" s="132" t="s">
        <v>100</v>
      </c>
      <c r="F45" s="142"/>
      <c r="G45" s="143" t="s">
        <v>428</v>
      </c>
    </row>
    <row r="46" spans="1:7" s="110" customFormat="1" ht="13.5" customHeight="1">
      <c r="A46" s="541" t="s">
        <v>347</v>
      </c>
      <c r="B46" s="144" t="s">
        <v>421</v>
      </c>
      <c r="C46" s="145">
        <f>ROUND((C33+C39)*F27,0)</f>
        <v>5</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46</v>
      </c>
      <c r="D49" s="128"/>
      <c r="E49" s="128"/>
      <c r="F49" s="160"/>
      <c r="G49" s="130" t="s">
        <v>429</v>
      </c>
    </row>
    <row r="50" spans="1:7" s="154" customFormat="1" ht="24">
      <c r="A50" s="538" t="s">
        <v>342</v>
      </c>
      <c r="B50" s="106" t="s">
        <v>95</v>
      </c>
      <c r="C50" s="128"/>
      <c r="D50" s="128"/>
      <c r="E50" s="128"/>
      <c r="F50" s="160">
        <f>IF('数据-取费表'!B24=0,'数据-取费表'!N16,1)</f>
        <v>0.7</v>
      </c>
      <c r="G50" s="143" t="s">
        <v>96</v>
      </c>
    </row>
    <row r="51" spans="1:7" ht="16.5" customHeight="1">
      <c r="A51" s="538" t="s">
        <v>343</v>
      </c>
      <c r="B51" s="106" t="s">
        <v>103</v>
      </c>
      <c r="C51" s="128">
        <f ca="1">ROUND(C49*F50,0)</f>
        <v>32</v>
      </c>
      <c r="D51" s="128"/>
      <c r="E51" s="128"/>
      <c r="F51" s="160"/>
      <c r="G51" s="130" t="s">
        <v>35</v>
      </c>
    </row>
    <row r="52" spans="1:7" s="104" customFormat="1" ht="16.8" thickBot="1">
      <c r="A52" s="161" t="s">
        <v>36</v>
      </c>
      <c r="B52" s="162"/>
      <c r="C52" s="163">
        <f ca="1">C31+C51</f>
        <v>24814</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49" workbookViewId="0">
      <selection activeCell="A177" sqref="A177:G189"/>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55" t="s">
        <v>3089</v>
      </c>
      <c r="B1" s="4555"/>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56" t="s">
        <v>3140</v>
      </c>
      <c r="B1" s="4556"/>
      <c r="C1" s="4556"/>
      <c r="D1" s="4556"/>
      <c r="E1" s="4556"/>
      <c r="F1" s="4557"/>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0" sqref="G10:G11"/>
    </sheetView>
  </sheetViews>
  <sheetFormatPr defaultRowHeight="14.4"/>
  <cols>
    <col min="1" max="1" width="13.88671875" customWidth="1"/>
    <col min="11" max="17" width="0" hidden="1" customWidth="1"/>
    <col min="25" max="30" width="0" hidden="1" customWidth="1"/>
  </cols>
  <sheetData>
    <row r="1" spans="1:44">
      <c r="A1" s="2382">
        <f>基准地价修正!G23</f>
        <v>46100</v>
      </c>
      <c r="B1" s="2374" t="s">
        <v>3283</v>
      </c>
      <c r="C1" s="2375"/>
      <c r="D1" s="2375"/>
      <c r="E1" s="2375"/>
      <c r="F1" s="2375"/>
      <c r="G1" s="2375"/>
      <c r="H1" s="2375"/>
      <c r="I1" s="2375"/>
      <c r="J1" s="2349"/>
      <c r="K1" s="2375" t="s">
        <v>448</v>
      </c>
      <c r="L1" s="2375"/>
      <c r="M1" s="2375"/>
      <c r="N1" s="2375"/>
      <c r="O1" s="2375"/>
      <c r="P1" s="2375"/>
      <c r="Q1" s="2349"/>
      <c r="R1" s="4558" t="s">
        <v>450</v>
      </c>
      <c r="S1" s="4559"/>
      <c r="T1" s="4559"/>
      <c r="U1" s="4559"/>
      <c r="V1" s="4559"/>
      <c r="W1" s="4559"/>
      <c r="X1" s="2349"/>
      <c r="Y1" s="4558" t="s">
        <v>451</v>
      </c>
      <c r="Z1" s="4559"/>
      <c r="AA1" s="4559"/>
      <c r="AB1" s="4559"/>
      <c r="AC1" s="4559"/>
      <c r="AD1" s="4559"/>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58" t="s">
        <v>2735</v>
      </c>
      <c r="S33" s="4559"/>
      <c r="T33" s="4559"/>
      <c r="U33" s="4559"/>
      <c r="V33" s="4559"/>
      <c r="W33" s="4559"/>
      <c r="X33" s="2349"/>
      <c r="Y33" s="4558" t="s">
        <v>2736</v>
      </c>
      <c r="Z33" s="4559"/>
      <c r="AA33" s="4559"/>
      <c r="AB33" s="4559"/>
      <c r="AC33" s="4559"/>
      <c r="AD33" s="4559"/>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7" sqref="L7"/>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63" t="s">
        <v>446</v>
      </c>
      <c r="C1" s="4563"/>
      <c r="D1" s="4563"/>
      <c r="E1" s="4563"/>
      <c r="F1" s="4563"/>
      <c r="G1" s="4559" t="s">
        <v>447</v>
      </c>
      <c r="H1" s="4559"/>
      <c r="I1" s="4559"/>
      <c r="J1" s="4559"/>
      <c r="K1" s="4559"/>
      <c r="L1" s="4559"/>
      <c r="N1" s="4559" t="s">
        <v>448</v>
      </c>
      <c r="O1" s="4559"/>
      <c r="P1" s="4559"/>
      <c r="Q1" s="4559"/>
      <c r="S1" s="4559" t="s">
        <v>449</v>
      </c>
      <c r="T1" s="4559"/>
      <c r="U1" s="4559"/>
      <c r="V1" s="4559"/>
      <c r="X1" s="4558" t="s">
        <v>450</v>
      </c>
      <c r="Y1" s="4559"/>
      <c r="Z1" s="4559"/>
      <c r="AA1" s="4559"/>
      <c r="AB1" s="4559"/>
      <c r="AD1" s="4558" t="s">
        <v>451</v>
      </c>
      <c r="AE1" s="4559"/>
      <c r="AF1" s="4559"/>
      <c r="AG1" s="4559"/>
      <c r="AH1" s="455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61">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61"/>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61"/>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68"/>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64">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61"/>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61"/>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68"/>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64">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61"/>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61"/>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62"/>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60">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61"/>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61"/>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62"/>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60">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61"/>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61"/>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62"/>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65">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66"/>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66"/>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67"/>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60">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61"/>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61"/>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62"/>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60">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61">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61">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62">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60">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61">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61">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62">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60">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61">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61">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62">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60">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61">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61">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62">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60">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61">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61">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62">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60">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61">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61">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62">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60">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61">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61">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62">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60">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61">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61">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62">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60">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61">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61">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62">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60">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61">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61">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62">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54" t="str">
        <f>IF(项目基本情况!B9="房地产市场价值","估价结果一览表","结果表-2")</f>
        <v>估价结果一览表</v>
      </c>
      <c r="B1" s="4154"/>
      <c r="C1" s="4154"/>
      <c r="D1" s="4154"/>
      <c r="E1" s="4154"/>
      <c r="F1" s="4154"/>
      <c r="G1" s="4154"/>
      <c r="H1" s="4154"/>
      <c r="I1" s="4154"/>
    </row>
    <row r="2" spans="1:9" ht="30" customHeight="1" thickTop="1">
      <c r="A2" s="4155" t="s">
        <v>914</v>
      </c>
      <c r="B2" s="4155" t="s">
        <v>915</v>
      </c>
      <c r="C2" s="4155" t="s">
        <v>916</v>
      </c>
      <c r="D2" s="4155" t="str">
        <f>结果表!D116</f>
        <v>出让国有建设用地使用权价值</v>
      </c>
      <c r="E2" s="4155"/>
      <c r="F2" s="4155">
        <f>结果表!F116</f>
        <v>0</v>
      </c>
      <c r="G2" s="4155"/>
      <c r="H2" s="4155" t="str">
        <f>IF(项目基本情况!B9="房地产市场价值","房地产市场价值","房地产价值")</f>
        <v>房地产市场价值</v>
      </c>
      <c r="I2" s="4155"/>
    </row>
    <row r="3" spans="1:9" ht="15.6">
      <c r="A3" s="4156"/>
      <c r="B3" s="4156"/>
      <c r="C3" s="4156"/>
      <c r="D3" s="572" t="s">
        <v>911</v>
      </c>
      <c r="E3" s="572" t="s">
        <v>917</v>
      </c>
      <c r="F3" s="572" t="s">
        <v>911</v>
      </c>
      <c r="G3" s="572" t="s">
        <v>912</v>
      </c>
      <c r="H3" s="572" t="s">
        <v>911</v>
      </c>
      <c r="I3" s="572" t="s">
        <v>912</v>
      </c>
    </row>
    <row r="4" spans="1:9" ht="15">
      <c r="A4" s="1084" t="str">
        <f>项目基本情况!S2</f>
        <v>北京市房地产</v>
      </c>
      <c r="B4" s="572">
        <f>项目基本情况!C17</f>
        <v>87.55</v>
      </c>
      <c r="C4" s="572">
        <f>项目基本情况!C18</f>
        <v>0</v>
      </c>
      <c r="D4" s="572" t="e">
        <f ca="1">结果表!D118</f>
        <v>#REF!</v>
      </c>
      <c r="E4" s="572" t="e">
        <f ca="1">结果表!E118</f>
        <v>#REF!</v>
      </c>
      <c r="F4" s="572" t="e">
        <f ca="1">结果表!F118</f>
        <v>#REF!</v>
      </c>
      <c r="G4" s="572" t="e">
        <f ca="1">结果表!G118</f>
        <v>#REF!</v>
      </c>
      <c r="H4" s="572">
        <f ca="1">结果表!H118</f>
        <v>585.35929999999996</v>
      </c>
      <c r="I4" s="572">
        <f ca="1">结果表!I118</f>
        <v>7636779</v>
      </c>
    </row>
    <row r="5" spans="1:9" ht="30" customHeight="1">
      <c r="A5" s="4156" t="s">
        <v>913</v>
      </c>
      <c r="B5" s="4156"/>
      <c r="C5" s="4156"/>
      <c r="D5" s="4156" t="e">
        <f ca="1">结果表!D119</f>
        <v>#REF!</v>
      </c>
      <c r="E5" s="4156"/>
      <c r="F5" s="4156" t="e">
        <f ca="1">结果表!F119</f>
        <v>#REF!</v>
      </c>
      <c r="G5" s="4156"/>
      <c r="H5" s="4156" t="str">
        <f ca="1">结果表!H119</f>
        <v>伍佰捌拾伍万叁仟伍佰玖拾叁元整</v>
      </c>
      <c r="I5" s="4156"/>
    </row>
    <row r="6" spans="1:9" ht="15.6">
      <c r="A6" s="4157" t="str">
        <f>结果表!A120</f>
        <v/>
      </c>
      <c r="B6" s="4157"/>
      <c r="C6" s="4157"/>
      <c r="D6" s="4157">
        <f>结果表!D120</f>
        <v>0</v>
      </c>
      <c r="E6" s="4157"/>
      <c r="F6" s="4157"/>
      <c r="G6" s="4157"/>
      <c r="H6" s="4157"/>
      <c r="I6" s="4157"/>
    </row>
    <row r="7" spans="1:9" ht="15">
      <c r="A7" s="4156" t="s">
        <v>913</v>
      </c>
      <c r="B7" s="4156"/>
      <c r="C7" s="4156"/>
      <c r="D7" s="4158" t="str">
        <f>结果表!D121</f>
        <v>零元整</v>
      </c>
      <c r="E7" s="4159"/>
      <c r="F7" s="4159"/>
      <c r="G7" s="4159"/>
      <c r="H7" s="4159"/>
      <c r="I7" s="4160"/>
    </row>
    <row r="8" spans="1:9" ht="15.6">
      <c r="A8" s="4157" t="str">
        <f>结果表!A122</f>
        <v/>
      </c>
      <c r="B8" s="4157"/>
      <c r="C8" s="4157"/>
      <c r="D8" s="4157">
        <f ca="1">结果表!D122</f>
        <v>585.35929999999996</v>
      </c>
      <c r="E8" s="4157"/>
      <c r="F8" s="4157"/>
      <c r="G8" s="4157"/>
      <c r="H8" s="4157"/>
      <c r="I8" s="4157"/>
    </row>
    <row r="9" spans="1:9" ht="15">
      <c r="A9" s="4156" t="s">
        <v>913</v>
      </c>
      <c r="B9" s="4156"/>
      <c r="C9" s="4156"/>
      <c r="D9" s="4156" t="str">
        <f ca="1">结果表!D123</f>
        <v>伍佰捌拾伍万叁仟伍佰玖拾叁元整</v>
      </c>
      <c r="E9" s="4156"/>
      <c r="F9" s="4156"/>
      <c r="G9" s="4156"/>
      <c r="H9" s="4156"/>
      <c r="I9" s="4156"/>
    </row>
    <row r="10" spans="1:9" ht="15.6">
      <c r="A10" s="4157" t="str">
        <f>结果表!A124</f>
        <v/>
      </c>
      <c r="B10" s="4157"/>
      <c r="C10" s="4157"/>
      <c r="D10" s="4157" t="str">
        <f>结果表!D124</f>
        <v>——</v>
      </c>
      <c r="E10" s="4157"/>
      <c r="F10" s="4157"/>
      <c r="G10" s="4157"/>
      <c r="H10" s="4157"/>
      <c r="I10" s="4157"/>
    </row>
    <row r="11" spans="1:9" ht="15">
      <c r="A11" s="4156" t="s">
        <v>913</v>
      </c>
      <c r="B11" s="4156"/>
      <c r="C11" s="4156"/>
      <c r="D11" s="4156" t="e">
        <f>结果表!D125</f>
        <v>#VALUE!</v>
      </c>
      <c r="E11" s="4156"/>
      <c r="F11" s="4156"/>
      <c r="G11" s="4156"/>
      <c r="H11" s="4156"/>
      <c r="I11" s="4156"/>
    </row>
    <row r="12" spans="1:9" ht="15.6">
      <c r="A12" s="4157" t="str">
        <f>结果表!A126</f>
        <v/>
      </c>
      <c r="B12" s="4157"/>
      <c r="C12" s="4157"/>
      <c r="D12" s="4157" t="str">
        <f>结果表!D126</f>
        <v>——</v>
      </c>
      <c r="E12" s="4157"/>
      <c r="F12" s="4157"/>
      <c r="G12" s="4157"/>
      <c r="H12" s="4157"/>
      <c r="I12" s="4157"/>
    </row>
    <row r="13" spans="1:9" ht="15.6" thickBot="1">
      <c r="A13" s="4161" t="s">
        <v>913</v>
      </c>
      <c r="B13" s="4161"/>
      <c r="C13" s="4161"/>
      <c r="D13" s="4161" t="e">
        <f>结果表!D127</f>
        <v>#VALUE!</v>
      </c>
      <c r="E13" s="4161"/>
      <c r="F13" s="4161"/>
      <c r="G13" s="4161"/>
      <c r="H13" s="4161"/>
      <c r="I13" s="4161"/>
    </row>
    <row r="14" spans="1:9" ht="14.4" thickTop="1">
      <c r="A14" s="4162" t="s">
        <v>918</v>
      </c>
      <c r="B14" s="4162"/>
      <c r="C14" s="4162"/>
      <c r="D14" s="4162"/>
      <c r="E14" s="4162"/>
      <c r="F14" s="4162"/>
      <c r="G14" s="4162"/>
      <c r="H14" s="4162"/>
      <c r="I14" s="4162"/>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1" zoomScale="80" zoomScaleNormal="80" workbookViewId="0">
      <selection activeCell="A164" sqref="A164:G189"/>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71" t="s">
        <v>2747</v>
      </c>
      <c r="B1" s="4571"/>
      <c r="C1" s="4571"/>
      <c r="D1" s="4571"/>
      <c r="E1" s="4571"/>
      <c r="F1" s="4571"/>
      <c r="G1" s="4572"/>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69"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70"/>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46100</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activeCell="F27" sqref="F27"/>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63" t="s">
        <v>935</v>
      </c>
      <c r="B1" s="4163"/>
      <c r="C1" s="4163"/>
      <c r="D1" s="4163"/>
    </row>
    <row r="2" spans="1:4" ht="17.399999999999999">
      <c r="A2" s="4164" t="s">
        <v>919</v>
      </c>
      <c r="B2" s="4164"/>
      <c r="C2" s="4164"/>
      <c r="D2" s="4164"/>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64" t="s">
        <v>925</v>
      </c>
      <c r="B6" s="4164"/>
      <c r="C6" s="4164"/>
      <c r="D6" s="4164"/>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65" t="s">
        <v>928</v>
      </c>
      <c r="B11" s="4166"/>
      <c r="C11" s="4166"/>
      <c r="D11" s="4166"/>
    </row>
    <row r="12" spans="1:4" ht="15.6">
      <c r="A12" s="4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67"/>
      <c r="C12" s="4167"/>
      <c r="D12" s="4167"/>
    </row>
    <row r="13" spans="1:4" ht="30" customHeight="1">
      <c r="A13" s="4166" t="str">
        <f>IF(项目基本情况!B8="抵押","3.抵押双方在办理抵押登记手续时，应使用本公司出具的正式《房地产评估报告》，特提醒报告使用者注意。","——")</f>
        <v>——</v>
      </c>
      <c r="B13" s="4167"/>
      <c r="C13" s="4167"/>
      <c r="D13" s="4167"/>
    </row>
    <row r="14" spans="1:4" ht="15.75" customHeight="1">
      <c r="A14" s="4166" t="str">
        <f>IF(项目基本情况!B8="抵押","4.本次评估估价师所知悉的法定优先受偿款情况说明如下：","——")</f>
        <v>——</v>
      </c>
      <c r="B14" s="4167"/>
      <c r="C14" s="4167"/>
      <c r="D14" s="4167"/>
    </row>
    <row r="15" spans="1:4" ht="42" customHeight="1">
      <c r="A15" s="4166" t="str">
        <f>IF(项目基本情况!B8="抵押","（1）"&amp;CONCATENATE(项目基本情况!L20,项目基本情况!L21,项目基本情况!L22),"——")</f>
        <v>——</v>
      </c>
      <c r="B15" s="4166"/>
      <c r="C15" s="4166"/>
      <c r="D15" s="4166"/>
    </row>
    <row r="16" spans="1:4" ht="30" customHeight="1">
      <c r="A16" s="4169" t="s">
        <v>929</v>
      </c>
      <c r="B16" s="4169"/>
      <c r="C16" s="4169"/>
      <c r="D16" s="4169"/>
    </row>
    <row r="17" spans="1:4" ht="144" customHeight="1">
      <c r="A17" s="4169" t="s">
        <v>930</v>
      </c>
      <c r="B17" s="4169"/>
      <c r="C17" s="4169"/>
      <c r="D17" s="4169"/>
    </row>
    <row r="18" spans="1:4" ht="15.75" customHeight="1">
      <c r="A18" s="4166" t="str">
        <f>IF(项目基本情况!B8="抵押",结果表!K120,"——")</f>
        <v>——</v>
      </c>
      <c r="B18" s="4166"/>
      <c r="C18" s="4166"/>
      <c r="D18" s="4166"/>
    </row>
    <row r="19" spans="1:4" ht="46.5" customHeight="1">
      <c r="A19" s="4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66"/>
      <c r="C19" s="4166"/>
      <c r="D19" s="4166"/>
    </row>
    <row r="20" spans="1:4" ht="57.75" customHeight="1">
      <c r="A20" s="4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6"/>
      <c r="C20" s="4166"/>
      <c r="D20" s="4166"/>
    </row>
    <row r="21" spans="1:4" ht="57.75" customHeight="1">
      <c r="A21" s="41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0"/>
      <c r="C21" s="4170"/>
      <c r="D21" s="4170"/>
    </row>
    <row r="22" spans="1:4" ht="18.75" customHeight="1">
      <c r="A22" s="4171" t="s">
        <v>931</v>
      </c>
      <c r="B22" s="4171"/>
      <c r="C22" s="4171"/>
      <c r="D22" s="4171"/>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68">
        <v>42551</v>
      </c>
      <c r="D31" s="416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77" t="s">
        <v>942</v>
      </c>
      <c r="B15" s="4172" t="s">
        <v>107</v>
      </c>
      <c r="C15" s="4173"/>
    </row>
    <row r="16" spans="1:7" ht="14.4">
      <c r="A16" s="4178"/>
      <c r="B16" s="4172" t="s">
        <v>40</v>
      </c>
      <c r="C16" s="4173"/>
    </row>
    <row r="17" spans="1:3" ht="14.4">
      <c r="A17" s="4178"/>
      <c r="B17" s="4175" t="s">
        <v>943</v>
      </c>
      <c r="C17" s="1110" t="s">
        <v>942</v>
      </c>
    </row>
    <row r="18" spans="1:3" ht="14.4">
      <c r="A18" s="4178"/>
      <c r="B18" s="4175"/>
      <c r="C18" s="1110" t="s">
        <v>944</v>
      </c>
    </row>
    <row r="19" spans="1:3" ht="14.4">
      <c r="A19" s="4178"/>
      <c r="B19" s="4175"/>
      <c r="C19" s="1110" t="s">
        <v>945</v>
      </c>
    </row>
    <row r="20" spans="1:3" ht="14.4">
      <c r="A20" s="4179"/>
      <c r="B20" s="4174" t="s">
        <v>946</v>
      </c>
      <c r="C20" s="4173"/>
    </row>
    <row r="21" spans="1:3" ht="14.4">
      <c r="A21" s="1111" t="s">
        <v>947</v>
      </c>
      <c r="B21" s="1112"/>
      <c r="C21" s="1113"/>
    </row>
    <row r="22" spans="1:3" ht="14.4">
      <c r="A22" s="4176" t="s">
        <v>948</v>
      </c>
      <c r="B22" s="4174" t="s">
        <v>949</v>
      </c>
      <c r="C22" s="4173"/>
    </row>
    <row r="23" spans="1:3" ht="14.4">
      <c r="A23" s="4176"/>
      <c r="B23" s="4174" t="s">
        <v>950</v>
      </c>
      <c r="C23" s="4173"/>
    </row>
    <row r="24" spans="1:3" ht="14.4">
      <c r="A24" s="4176"/>
      <c r="B24" s="4174" t="s">
        <v>951</v>
      </c>
      <c r="C24" s="4173"/>
    </row>
    <row r="25" spans="1:3" ht="14.4">
      <c r="A25" s="4176"/>
      <c r="B25" s="4175" t="s">
        <v>952</v>
      </c>
      <c r="C25" s="1110" t="s">
        <v>953</v>
      </c>
    </row>
    <row r="26" spans="1:3" ht="14.4">
      <c r="A26" s="4176"/>
      <c r="B26" s="4175"/>
      <c r="C26" s="1110" t="s">
        <v>954</v>
      </c>
    </row>
    <row r="27" spans="1:3" ht="14.4">
      <c r="A27" s="4176"/>
      <c r="B27" s="4175"/>
      <c r="C27" s="1110" t="s">
        <v>955</v>
      </c>
    </row>
    <row r="28" spans="1:3" ht="14.4">
      <c r="A28" s="4176"/>
      <c r="B28" s="4175"/>
      <c r="C28" s="1110" t="s">
        <v>956</v>
      </c>
    </row>
    <row r="29" spans="1:3" ht="14.4">
      <c r="A29" s="4176"/>
      <c r="B29" s="4175"/>
      <c r="C29" s="1110" t="s">
        <v>957</v>
      </c>
    </row>
    <row r="30" spans="1:3" ht="14.4">
      <c r="A30" s="4176"/>
      <c r="B30" s="4175"/>
      <c r="C30" s="1110" t="s">
        <v>958</v>
      </c>
    </row>
    <row r="31" spans="1:3" ht="14.4">
      <c r="A31" s="4176"/>
      <c r="B31" s="4175"/>
      <c r="C31" s="1110" t="s">
        <v>959</v>
      </c>
    </row>
    <row r="32" spans="1:3" ht="14.4">
      <c r="A32" s="4176"/>
      <c r="B32" s="4175"/>
      <c r="C32" s="1110" t="s">
        <v>960</v>
      </c>
    </row>
    <row r="33" spans="1:3" ht="14.4">
      <c r="A33" s="4176"/>
      <c r="B33" s="4175"/>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46106</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80" t="s">
        <v>2074</v>
      </c>
      <c r="B17" s="4180"/>
      <c r="C17" s="4180"/>
      <c r="D17" s="4180"/>
      <c r="E17" s="4180"/>
      <c r="F17" s="4180"/>
      <c r="G17" s="4180"/>
      <c r="H17" s="4180"/>
    </row>
    <row r="18" spans="1:8" ht="24" customHeight="1">
      <c r="A18" s="4181" t="s">
        <v>2075</v>
      </c>
      <c r="B18" s="4181"/>
      <c r="C18" s="4181"/>
      <c r="D18" s="1751"/>
      <c r="E18" s="4182" t="s">
        <v>2076</v>
      </c>
      <c r="F18" s="4181"/>
      <c r="G18" s="4181"/>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比较法-住宅</vt:lpstr>
      <vt:lpstr>案例</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比较法-租金</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2026-03-25T07:21:46Z</dcterms:modified>
</cp:coreProperties>
</file>