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5" yWindow="4800" windowWidth="20730" windowHeight="480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汇总" sheetId="69" r:id="rId18"/>
    <sheet name="剩余法-待开发" sheetId="12" r:id="rId19"/>
    <sheet name="剩余法-现房" sheetId="43" state="hidden" r:id="rId20"/>
    <sheet name="比较法-住宅、综合" sheetId="39" state="hidden" r:id="rId21"/>
    <sheet name="比较法-工业" sheetId="40" state="hidden" r:id="rId22"/>
    <sheet name="不动产收益法" sheetId="15" r:id="rId23"/>
    <sheet name="基准地价" sheetId="46"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售价案例" sheetId="68" state="hidden" r:id="rId41"/>
    <sheet name="不动产比较法-办公" sheetId="34" r:id="rId42"/>
    <sheet name="出租案例" sheetId="70" r:id="rId43"/>
  </sheets>
  <definedNames>
    <definedName name="_xlnm._FilterDatabase" localSheetId="21" hidden="1">'比较法-工业'!$A$1:$L$45</definedName>
    <definedName name="_xlnm._FilterDatabase" localSheetId="20" hidden="1">'比较法-住宅、综合'!$A$1:$L$50</definedName>
    <definedName name="_xlnm._FilterDatabase" localSheetId="41"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22" i="69"/>
  <c r="C34" i="39" l="1"/>
  <c r="AH6" i="1" l="1"/>
  <c r="C7" i="39"/>
  <c r="D4" i="69" l="1"/>
  <c r="G59" i="46" l="1"/>
  <c r="G60"/>
  <c r="G61"/>
  <c r="G62"/>
  <c r="G63"/>
  <c r="G64"/>
  <c r="G65"/>
  <c r="G66"/>
  <c r="G58"/>
  <c r="D31" i="69" l="1"/>
  <c r="C30"/>
  <c r="C21"/>
  <c r="C13"/>
  <c r="D5"/>
  <c r="D6"/>
  <c r="C34" i="34"/>
  <c r="I19"/>
  <c r="E19"/>
  <c r="G19"/>
  <c r="G17"/>
  <c r="G23"/>
  <c r="C25"/>
  <c r="C6"/>
  <c r="C8" i="39" s="1"/>
  <c r="C23" i="69" l="1"/>
  <c r="C29"/>
  <c r="C31" s="1"/>
  <c r="D5" i="9" l="1"/>
  <c r="C25" i="12"/>
  <c r="D29" i="46"/>
  <c r="F1"/>
  <c r="G17" i="4"/>
  <c r="F19" i="6"/>
  <c r="AB5" i="59" l="1"/>
  <c r="AA5"/>
  <c r="Y5"/>
  <c r="X5"/>
  <c r="X6"/>
  <c r="V6" l="1"/>
  <c r="U6"/>
  <c r="T6"/>
  <c r="S6"/>
  <c r="AH5" l="1"/>
  <c r="AG5"/>
  <c r="AE5"/>
  <c r="AF5" s="1"/>
  <c r="AD5"/>
  <c r="Q5"/>
  <c r="P5"/>
  <c r="O5"/>
  <c r="N5"/>
  <c r="M15" i="49" l="1"/>
  <c r="L15"/>
  <c r="K15"/>
  <c r="J15"/>
  <c r="I15"/>
  <c r="H15"/>
  <c r="G15"/>
  <c r="F15"/>
  <c r="E15"/>
  <c r="D15"/>
  <c r="C15"/>
  <c r="B15"/>
  <c r="AH6" i="59" l="1"/>
  <c r="AG6"/>
  <c r="AF6"/>
  <c r="AE6"/>
  <c r="AD6"/>
  <c r="Q6"/>
  <c r="P6"/>
  <c r="O6"/>
  <c r="Z5" s="1"/>
  <c r="N6"/>
  <c r="L3" l="1"/>
  <c r="AH3" s="1"/>
  <c r="K3"/>
  <c r="J3"/>
  <c r="AE3" s="1"/>
  <c r="AF3" s="1"/>
  <c r="I3"/>
  <c r="AH7"/>
  <c r="AG7"/>
  <c r="AE7"/>
  <c r="AF7" s="1"/>
  <c r="AD7"/>
  <c r="Q7"/>
  <c r="AB6" s="1"/>
  <c r="Q8"/>
  <c r="AB7"/>
  <c r="P7"/>
  <c r="AA6" s="1"/>
  <c r="P8"/>
  <c r="AA7"/>
  <c r="O7"/>
  <c r="Y6" s="1"/>
  <c r="Z6" s="1"/>
  <c r="O8"/>
  <c r="Y7"/>
  <c r="Z7" s="1"/>
  <c r="N7"/>
  <c r="N8"/>
  <c r="X7"/>
  <c r="F8"/>
  <c r="F7"/>
  <c r="F6" s="1"/>
  <c r="F5" s="1"/>
  <c r="E8"/>
  <c r="E7"/>
  <c r="E6" s="1"/>
  <c r="E5" s="1"/>
  <c r="C8"/>
  <c r="B8"/>
  <c r="AH8"/>
  <c r="AG8"/>
  <c r="AE8"/>
  <c r="AF8"/>
  <c r="AD8"/>
  <c r="Q9"/>
  <c r="AB8"/>
  <c r="P9"/>
  <c r="AA8"/>
  <c r="O9"/>
  <c r="Y8"/>
  <c r="Z8"/>
  <c r="N9"/>
  <c r="X8"/>
  <c r="F9"/>
  <c r="E9"/>
  <c r="C9"/>
  <c r="D8"/>
  <c r="B9"/>
  <c r="D9"/>
  <c r="M19" i="46"/>
  <c r="J50" i="15"/>
  <c r="J51" s="1"/>
  <c r="D11" i="59"/>
  <c r="AH9"/>
  <c r="AG9"/>
  <c r="AE9"/>
  <c r="AF9"/>
  <c r="AD9"/>
  <c r="AE10"/>
  <c r="AF10"/>
  <c r="AG10"/>
  <c r="AH10"/>
  <c r="AD10"/>
  <c r="Q10"/>
  <c r="AB9"/>
  <c r="P10"/>
  <c r="AA9"/>
  <c r="O10"/>
  <c r="Y9"/>
  <c r="Z9"/>
  <c r="N10"/>
  <c r="X9"/>
  <c r="N11"/>
  <c r="Q11"/>
  <c r="P11"/>
  <c r="O11"/>
  <c r="K59" i="15"/>
  <c r="P62"/>
  <c r="P75"/>
  <c r="Q74" i="44"/>
  <c r="Q61"/>
  <c r="Q60"/>
  <c r="Q53"/>
  <c r="J51"/>
  <c r="J52" s="1"/>
  <c r="M48"/>
  <c r="A16" i="55"/>
  <c r="A15"/>
  <c r="B66" i="63" s="1"/>
  <c r="A14" i="55"/>
  <c r="A11"/>
  <c r="A10"/>
  <c r="B61" i="63" s="1"/>
  <c r="A9" i="55"/>
  <c r="B60" i="63" s="1"/>
  <c r="A8" i="55"/>
  <c r="A6" i="54"/>
  <c r="B49" i="63" s="1"/>
  <c r="A8" i="54"/>
  <c r="A7"/>
  <c r="A28" i="51"/>
  <c r="A27"/>
  <c r="B20" i="63" s="1"/>
  <c r="Q12" i="59"/>
  <c r="AB10"/>
  <c r="O12"/>
  <c r="Y10"/>
  <c r="Z10"/>
  <c r="N13"/>
  <c r="O13"/>
  <c r="P13"/>
  <c r="Q13"/>
  <c r="N12"/>
  <c r="X10"/>
  <c r="P12"/>
  <c r="AA10"/>
  <c r="B14"/>
  <c r="C14"/>
  <c r="D14"/>
  <c r="E14"/>
  <c r="F14"/>
  <c r="K75" i="9"/>
  <c r="K6" i="4"/>
  <c r="O76" i="9"/>
  <c r="L76"/>
  <c r="K76"/>
  <c r="K77"/>
  <c r="K79"/>
  <c r="K81"/>
  <c r="B22" i="31"/>
  <c r="E15" i="66"/>
  <c r="F15"/>
  <c r="E16"/>
  <c r="F16"/>
  <c r="E17"/>
  <c r="F17"/>
  <c r="E18"/>
  <c r="F18"/>
  <c r="E19"/>
  <c r="F19"/>
  <c r="E20"/>
  <c r="F20"/>
  <c r="E21"/>
  <c r="F21"/>
  <c r="E22"/>
  <c r="F22"/>
  <c r="E23"/>
  <c r="F23"/>
  <c r="B3"/>
  <c r="V14" i="59"/>
  <c r="U14"/>
  <c r="T14"/>
  <c r="S14"/>
  <c r="B13"/>
  <c r="B12"/>
  <c r="B10"/>
  <c r="E13"/>
  <c r="E12"/>
  <c r="E10"/>
  <c r="C13"/>
  <c r="F13"/>
  <c r="F12"/>
  <c r="F10"/>
  <c r="V10"/>
  <c r="U10"/>
  <c r="S10"/>
  <c r="D13"/>
  <c r="C12"/>
  <c r="AD3"/>
  <c r="AG3"/>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H25"/>
  <c r="AG25"/>
  <c r="AE25"/>
  <c r="AF25"/>
  <c r="AD25"/>
  <c r="AD26"/>
  <c r="AE26"/>
  <c r="AF26"/>
  <c r="AG26"/>
  <c r="AH26"/>
  <c r="X15"/>
  <c r="Y15"/>
  <c r="Z15"/>
  <c r="AA15"/>
  <c r="AB15"/>
  <c r="X16"/>
  <c r="Y16"/>
  <c r="Z16"/>
  <c r="AA16"/>
  <c r="AB16"/>
  <c r="X17"/>
  <c r="Y17"/>
  <c r="Z17"/>
  <c r="AA17"/>
  <c r="AB17"/>
  <c r="X18"/>
  <c r="Y18"/>
  <c r="Z18"/>
  <c r="AA18"/>
  <c r="AB18"/>
  <c r="X19"/>
  <c r="Y19"/>
  <c r="Z19"/>
  <c r="AA19"/>
  <c r="AB19"/>
  <c r="X20"/>
  <c r="Y20"/>
  <c r="Z20"/>
  <c r="AA20"/>
  <c r="AB20"/>
  <c r="X21"/>
  <c r="Y21"/>
  <c r="Z21"/>
  <c r="AA21"/>
  <c r="AB21"/>
  <c r="X22"/>
  <c r="Y22"/>
  <c r="Z22"/>
  <c r="AA22"/>
  <c r="AB22"/>
  <c r="X23"/>
  <c r="Y23"/>
  <c r="Z23"/>
  <c r="AA23"/>
  <c r="AB23"/>
  <c r="AB24"/>
  <c r="AA24"/>
  <c r="Y24"/>
  <c r="X24"/>
  <c r="D12"/>
  <c r="S2" i="31"/>
  <c r="M2"/>
  <c r="N2"/>
  <c r="O2"/>
  <c r="P2"/>
  <c r="Q2"/>
  <c r="R2"/>
  <c r="C10" i="59"/>
  <c r="C3" i="65"/>
  <c r="C1"/>
  <c r="N1" s="1"/>
  <c r="T10" i="59"/>
  <c r="D10"/>
  <c r="B76" i="63"/>
  <c r="M5" i="54"/>
  <c r="A23" i="51"/>
  <c r="Y12" i="46"/>
  <c r="AA9"/>
  <c r="AB9"/>
  <c r="AB10" s="1"/>
  <c r="AC9"/>
  <c r="AD9"/>
  <c r="AD10" s="1"/>
  <c r="AE9"/>
  <c r="AF9"/>
  <c r="AF10" s="1"/>
  <c r="AG9"/>
  <c r="AH9"/>
  <c r="AH10" s="1"/>
  <c r="AI9"/>
  <c r="AJ9"/>
  <c r="AJ10" s="1"/>
  <c r="Z9"/>
  <c r="Z10"/>
  <c r="AI10"/>
  <c r="AG10"/>
  <c r="AE10"/>
  <c r="AC10"/>
  <c r="AA10"/>
  <c r="Y10"/>
  <c r="Z12"/>
  <c r="AI12"/>
  <c r="AG12"/>
  <c r="AE12"/>
  <c r="AC12"/>
  <c r="AA12"/>
  <c r="B75" i="63"/>
  <c r="B73"/>
  <c r="A21" i="64"/>
  <c r="A28"/>
  <c r="A27"/>
  <c r="A15"/>
  <c r="A14"/>
  <c r="A11"/>
  <c r="A3"/>
  <c r="A45" i="9"/>
  <c r="A44"/>
  <c r="C57" i="10"/>
  <c r="C56"/>
  <c r="C55"/>
  <c r="C54"/>
  <c r="B44" i="63"/>
  <c r="B40"/>
  <c r="B30"/>
  <c r="B27"/>
  <c r="B25"/>
  <c r="A11" i="51"/>
  <c r="A26" i="64"/>
  <c r="A26" i="51"/>
  <c r="K39" i="9"/>
  <c r="K40"/>
  <c r="B58" i="63"/>
  <c r="B53"/>
  <c r="B51"/>
  <c r="A46" i="9"/>
  <c r="K41"/>
  <c r="B8" i="63"/>
  <c r="A21" i="55"/>
  <c r="B71" i="63" s="1"/>
  <c r="A20" i="55"/>
  <c r="B69" i="63" s="1"/>
  <c r="B26"/>
  <c r="B28"/>
  <c r="B29"/>
  <c r="B31"/>
  <c r="B33"/>
  <c r="B35"/>
  <c r="B36"/>
  <c r="B37"/>
  <c r="B63"/>
  <c r="B64"/>
  <c r="B68"/>
  <c r="D51" i="10"/>
  <c r="B59" i="63"/>
  <c r="B10"/>
  <c r="B51" i="10"/>
  <c r="B17" i="63"/>
  <c r="A15" i="51"/>
  <c r="B12" i="63" s="1"/>
  <c r="A14" i="51"/>
  <c r="B11" i="63"/>
  <c r="A4" i="55"/>
  <c r="B57" i="63"/>
  <c r="B41"/>
  <c r="G5" i="54"/>
  <c r="B34" i="63"/>
  <c r="E5" i="54"/>
  <c r="B32" i="63"/>
  <c r="R2" i="54"/>
  <c r="B24" i="63"/>
  <c r="B19"/>
  <c r="B49" i="50"/>
  <c r="B5" i="63"/>
  <c r="B40" i="50"/>
  <c r="B3" i="63"/>
  <c r="N4"/>
  <c r="B21"/>
  <c r="B67"/>
  <c r="I19" i="46"/>
  <c r="Q14" i="59"/>
  <c r="P14"/>
  <c r="O14"/>
  <c r="N14"/>
  <c r="D75"/>
  <c r="F74"/>
  <c r="E74"/>
  <c r="E73"/>
  <c r="E72"/>
  <c r="C74"/>
  <c r="D74"/>
  <c r="B74"/>
  <c r="F73"/>
  <c r="F72"/>
  <c r="B73"/>
  <c r="B72"/>
  <c r="D71"/>
  <c r="F70"/>
  <c r="E70"/>
  <c r="E69"/>
  <c r="E68"/>
  <c r="C70"/>
  <c r="D70"/>
  <c r="B70"/>
  <c r="F69"/>
  <c r="F68"/>
  <c r="B69"/>
  <c r="B68"/>
  <c r="D67"/>
  <c r="Q66"/>
  <c r="P66"/>
  <c r="O66"/>
  <c r="N66"/>
  <c r="F66"/>
  <c r="V66"/>
  <c r="E66"/>
  <c r="U66"/>
  <c r="C66"/>
  <c r="T66"/>
  <c r="B66"/>
  <c r="S66"/>
  <c r="Q65"/>
  <c r="P65"/>
  <c r="O65"/>
  <c r="N65"/>
  <c r="F65"/>
  <c r="F64"/>
  <c r="B65"/>
  <c r="B64"/>
  <c r="Q64"/>
  <c r="P64"/>
  <c r="O64"/>
  <c r="N64"/>
  <c r="Q63"/>
  <c r="P63"/>
  <c r="O63"/>
  <c r="N63"/>
  <c r="D63"/>
  <c r="Q62"/>
  <c r="P62"/>
  <c r="O62"/>
  <c r="N62"/>
  <c r="F62"/>
  <c r="V62"/>
  <c r="E62"/>
  <c r="U62"/>
  <c r="C62"/>
  <c r="T62"/>
  <c r="B62"/>
  <c r="S62"/>
  <c r="Q61"/>
  <c r="P61"/>
  <c r="O61"/>
  <c r="N61"/>
  <c r="F61"/>
  <c r="F60"/>
  <c r="B61"/>
  <c r="B60"/>
  <c r="Q60"/>
  <c r="P60"/>
  <c r="O60"/>
  <c r="N60"/>
  <c r="Q59"/>
  <c r="P59"/>
  <c r="O59"/>
  <c r="N59"/>
  <c r="D59"/>
  <c r="Q58"/>
  <c r="P58"/>
  <c r="O58"/>
  <c r="N58"/>
  <c r="F58"/>
  <c r="V58"/>
  <c r="E58"/>
  <c r="U58"/>
  <c r="C58"/>
  <c r="T58"/>
  <c r="B58"/>
  <c r="S58"/>
  <c r="Q57"/>
  <c r="P57"/>
  <c r="O57"/>
  <c r="N57"/>
  <c r="F57"/>
  <c r="F56"/>
  <c r="B57"/>
  <c r="B56"/>
  <c r="Q56"/>
  <c r="P56"/>
  <c r="O56"/>
  <c r="N56"/>
  <c r="Q55"/>
  <c r="P55"/>
  <c r="O55"/>
  <c r="N55"/>
  <c r="D55"/>
  <c r="F54"/>
  <c r="V54"/>
  <c r="E54"/>
  <c r="E53"/>
  <c r="P53"/>
  <c r="C54"/>
  <c r="B54"/>
  <c r="N54"/>
  <c r="F53"/>
  <c r="F52"/>
  <c r="Q52"/>
  <c r="B53"/>
  <c r="Q51"/>
  <c r="D51"/>
  <c r="Q50"/>
  <c r="P50"/>
  <c r="O50"/>
  <c r="N50"/>
  <c r="Q49"/>
  <c r="P49"/>
  <c r="O49"/>
  <c r="N49"/>
  <c r="Q48"/>
  <c r="P48"/>
  <c r="O48"/>
  <c r="N48"/>
  <c r="Q47"/>
  <c r="F48"/>
  <c r="P47"/>
  <c r="E48"/>
  <c r="E49"/>
  <c r="E50"/>
  <c r="U50"/>
  <c r="O47"/>
  <c r="C48"/>
  <c r="N47"/>
  <c r="B48"/>
  <c r="B49"/>
  <c r="B50"/>
  <c r="S50"/>
  <c r="D47"/>
  <c r="Q46"/>
  <c r="P46"/>
  <c r="O46"/>
  <c r="N46"/>
  <c r="Q45"/>
  <c r="P45"/>
  <c r="O45"/>
  <c r="N45"/>
  <c r="Q44"/>
  <c r="P44"/>
  <c r="O44"/>
  <c r="N44"/>
  <c r="Q43"/>
  <c r="F44"/>
  <c r="P43"/>
  <c r="E44"/>
  <c r="E45"/>
  <c r="E46"/>
  <c r="U46"/>
  <c r="O43"/>
  <c r="C44"/>
  <c r="N43"/>
  <c r="B44"/>
  <c r="B45"/>
  <c r="B46"/>
  <c r="S46"/>
  <c r="D43"/>
  <c r="Q42"/>
  <c r="P42"/>
  <c r="O42"/>
  <c r="N42"/>
  <c r="Q41"/>
  <c r="P41"/>
  <c r="O41"/>
  <c r="N41"/>
  <c r="Q40"/>
  <c r="P40"/>
  <c r="O40"/>
  <c r="N40"/>
  <c r="Q39"/>
  <c r="F40"/>
  <c r="P39"/>
  <c r="E40"/>
  <c r="E41"/>
  <c r="E42"/>
  <c r="U42"/>
  <c r="O39"/>
  <c r="C40"/>
  <c r="N39"/>
  <c r="B40"/>
  <c r="B41"/>
  <c r="B42"/>
  <c r="S42"/>
  <c r="D39"/>
  <c r="Q38"/>
  <c r="P38"/>
  <c r="O38"/>
  <c r="N38"/>
  <c r="Q37"/>
  <c r="P37"/>
  <c r="O37"/>
  <c r="N37"/>
  <c r="Q36"/>
  <c r="P36"/>
  <c r="O36"/>
  <c r="N36"/>
  <c r="Q35"/>
  <c r="F36"/>
  <c r="F37"/>
  <c r="F38"/>
  <c r="V38"/>
  <c r="P35"/>
  <c r="E36"/>
  <c r="O35"/>
  <c r="C36"/>
  <c r="N35"/>
  <c r="B36"/>
  <c r="D35"/>
  <c r="T34"/>
  <c r="Q34"/>
  <c r="P34"/>
  <c r="O34"/>
  <c r="N34"/>
  <c r="D34"/>
  <c r="Q33"/>
  <c r="P33"/>
  <c r="O33"/>
  <c r="N33"/>
  <c r="Q32"/>
  <c r="P32"/>
  <c r="O32"/>
  <c r="N32"/>
  <c r="Q31"/>
  <c r="F32"/>
  <c r="P31"/>
  <c r="E32"/>
  <c r="E33"/>
  <c r="E34"/>
  <c r="U34"/>
  <c r="O31"/>
  <c r="C32"/>
  <c r="N31"/>
  <c r="B32"/>
  <c r="B33"/>
  <c r="B34"/>
  <c r="S34"/>
  <c r="D31"/>
  <c r="Q30"/>
  <c r="P30"/>
  <c r="O30"/>
  <c r="N30"/>
  <c r="Q29"/>
  <c r="P29"/>
  <c r="O29"/>
  <c r="N29"/>
  <c r="Q28"/>
  <c r="P28"/>
  <c r="O28"/>
  <c r="N28"/>
  <c r="Q27"/>
  <c r="F28"/>
  <c r="P27"/>
  <c r="E28"/>
  <c r="E29"/>
  <c r="E30"/>
  <c r="U30"/>
  <c r="O27"/>
  <c r="C28"/>
  <c r="N27"/>
  <c r="B28"/>
  <c r="B29"/>
  <c r="B30"/>
  <c r="S30"/>
  <c r="D27"/>
  <c r="Q26"/>
  <c r="P26"/>
  <c r="O26"/>
  <c r="N26"/>
  <c r="Q25"/>
  <c r="AB25"/>
  <c r="P25"/>
  <c r="O25"/>
  <c r="Y25"/>
  <c r="Z25"/>
  <c r="N25"/>
  <c r="X25"/>
  <c r="Q24"/>
  <c r="P24"/>
  <c r="O24"/>
  <c r="N24"/>
  <c r="Q23"/>
  <c r="F24"/>
  <c r="P23"/>
  <c r="E24"/>
  <c r="E25"/>
  <c r="E26"/>
  <c r="U26"/>
  <c r="O23"/>
  <c r="C24"/>
  <c r="N23"/>
  <c r="B24"/>
  <c r="B25"/>
  <c r="B26"/>
  <c r="S26"/>
  <c r="D23"/>
  <c r="Q22"/>
  <c r="P22"/>
  <c r="O22"/>
  <c r="N22"/>
  <c r="Q21"/>
  <c r="P21"/>
  <c r="O21"/>
  <c r="N21"/>
  <c r="Q20"/>
  <c r="P20"/>
  <c r="O20"/>
  <c r="N20"/>
  <c r="Q19"/>
  <c r="F20"/>
  <c r="P19"/>
  <c r="E20"/>
  <c r="E21"/>
  <c r="E22"/>
  <c r="U22"/>
  <c r="O19"/>
  <c r="C20"/>
  <c r="N19"/>
  <c r="B20"/>
  <c r="B21"/>
  <c r="B22"/>
  <c r="S22"/>
  <c r="D19"/>
  <c r="Q18"/>
  <c r="P18"/>
  <c r="O18"/>
  <c r="N18"/>
  <c r="Q17"/>
  <c r="P17"/>
  <c r="O17"/>
  <c r="N17"/>
  <c r="Q16"/>
  <c r="P16"/>
  <c r="O16"/>
  <c r="N16"/>
  <c r="Q15"/>
  <c r="F16"/>
  <c r="P15"/>
  <c r="O15"/>
  <c r="C16"/>
  <c r="N15"/>
  <c r="B16"/>
  <c r="D15"/>
  <c r="X3"/>
  <c r="X11"/>
  <c r="X12"/>
  <c r="X13"/>
  <c r="X14"/>
  <c r="AA3"/>
  <c r="AA11"/>
  <c r="AA12"/>
  <c r="AA13"/>
  <c r="AA14"/>
  <c r="Y11"/>
  <c r="Z11"/>
  <c r="Y12"/>
  <c r="Z12"/>
  <c r="Y13"/>
  <c r="Z13"/>
  <c r="Y14"/>
  <c r="Z14"/>
  <c r="Y3"/>
  <c r="Z3" s="1"/>
  <c r="AB14"/>
  <c r="AB3"/>
  <c r="AB11"/>
  <c r="AB12"/>
  <c r="AB13"/>
  <c r="B17"/>
  <c r="B18"/>
  <c r="S18"/>
  <c r="E16"/>
  <c r="E17"/>
  <c r="E18"/>
  <c r="U18"/>
  <c r="B37"/>
  <c r="B38"/>
  <c r="S38"/>
  <c r="E37"/>
  <c r="E38"/>
  <c r="U38"/>
  <c r="S54"/>
  <c r="Z24"/>
  <c r="AA25"/>
  <c r="F17"/>
  <c r="F18"/>
  <c r="V18"/>
  <c r="F21"/>
  <c r="F22"/>
  <c r="V22"/>
  <c r="F25"/>
  <c r="F26"/>
  <c r="V26"/>
  <c r="F29"/>
  <c r="F30"/>
  <c r="V30"/>
  <c r="F33"/>
  <c r="F34"/>
  <c r="V34"/>
  <c r="F41"/>
  <c r="F42"/>
  <c r="V42"/>
  <c r="F45"/>
  <c r="F46"/>
  <c r="V46"/>
  <c r="F49"/>
  <c r="F50"/>
  <c r="V50"/>
  <c r="C17"/>
  <c r="D16"/>
  <c r="C25"/>
  <c r="D24"/>
  <c r="C29"/>
  <c r="D28"/>
  <c r="C33"/>
  <c r="D33"/>
  <c r="D32"/>
  <c r="C37"/>
  <c r="D36"/>
  <c r="C41"/>
  <c r="D40"/>
  <c r="C45"/>
  <c r="D44"/>
  <c r="C49"/>
  <c r="D48"/>
  <c r="C21"/>
  <c r="D20"/>
  <c r="E52"/>
  <c r="N53"/>
  <c r="B52"/>
  <c r="Q53"/>
  <c r="T54"/>
  <c r="O54"/>
  <c r="D54"/>
  <c r="C53"/>
  <c r="P54"/>
  <c r="U54"/>
  <c r="Q54"/>
  <c r="C57"/>
  <c r="E57"/>
  <c r="E56"/>
  <c r="D58"/>
  <c r="C61"/>
  <c r="E61"/>
  <c r="E60"/>
  <c r="D62"/>
  <c r="C65"/>
  <c r="E65"/>
  <c r="E64"/>
  <c r="D66"/>
  <c r="C69"/>
  <c r="C73"/>
  <c r="U16" i="4"/>
  <c r="S16"/>
  <c r="Q16"/>
  <c r="O16"/>
  <c r="N16" s="1"/>
  <c r="M16"/>
  <c r="K16"/>
  <c r="P51" i="59"/>
  <c r="P52"/>
  <c r="D73"/>
  <c r="C72"/>
  <c r="D72"/>
  <c r="D65"/>
  <c r="C64"/>
  <c r="D64"/>
  <c r="D57"/>
  <c r="C56"/>
  <c r="D56"/>
  <c r="C52"/>
  <c r="O53"/>
  <c r="D53"/>
  <c r="D69"/>
  <c r="C68"/>
  <c r="D68"/>
  <c r="D61"/>
  <c r="C60"/>
  <c r="D60"/>
  <c r="N51"/>
  <c r="N52"/>
  <c r="C22"/>
  <c r="D21"/>
  <c r="C50"/>
  <c r="D49"/>
  <c r="D45"/>
  <c r="C46"/>
  <c r="C42"/>
  <c r="D41"/>
  <c r="C38"/>
  <c r="D37"/>
  <c r="C30"/>
  <c r="D29"/>
  <c r="C26"/>
  <c r="D25"/>
  <c r="C18"/>
  <c r="D17"/>
  <c r="L16" i="4"/>
  <c r="T46" i="59"/>
  <c r="D46"/>
  <c r="T18"/>
  <c r="D18"/>
  <c r="T26"/>
  <c r="D26"/>
  <c r="T30"/>
  <c r="D30"/>
  <c r="T38"/>
  <c r="D38"/>
  <c r="T42"/>
  <c r="D42"/>
  <c r="T50"/>
  <c r="D50"/>
  <c r="T22"/>
  <c r="D22"/>
  <c r="O52"/>
  <c r="D52"/>
  <c r="O51"/>
  <c r="O27" i="6"/>
  <c r="N27"/>
  <c r="P26"/>
  <c r="L26"/>
  <c r="P25"/>
  <c r="L25"/>
  <c r="P24"/>
  <c r="L24"/>
  <c r="P23"/>
  <c r="L23"/>
  <c r="P22"/>
  <c r="L22"/>
  <c r="P21"/>
  <c r="L21"/>
  <c r="P20"/>
  <c r="P19"/>
  <c r="P27"/>
  <c r="Z18" i="36"/>
  <c r="Q18"/>
  <c r="C18"/>
  <c r="D66"/>
  <c r="F18"/>
  <c r="AA18"/>
  <c r="Z18" i="35"/>
  <c r="Q18"/>
  <c r="F18"/>
  <c r="AA18"/>
  <c r="C18"/>
  <c r="D68"/>
  <c r="E68"/>
  <c r="F68"/>
  <c r="G68"/>
  <c r="Z21" i="37"/>
  <c r="Q21"/>
  <c r="F21"/>
  <c r="AA21"/>
  <c r="C21"/>
  <c r="E77"/>
  <c r="F77"/>
  <c r="G77"/>
  <c r="D77"/>
  <c r="Z21" i="34"/>
  <c r="Q21"/>
  <c r="C21"/>
  <c r="D84"/>
  <c r="F21"/>
  <c r="AA21" s="1"/>
  <c r="Z21" i="33"/>
  <c r="Q21"/>
  <c r="C21"/>
  <c r="D83"/>
  <c r="E83"/>
  <c r="F83"/>
  <c r="G83"/>
  <c r="Z21" i="21"/>
  <c r="Q21"/>
  <c r="D83"/>
  <c r="E83"/>
  <c r="F21"/>
  <c r="AA21"/>
  <c r="C21"/>
  <c r="Z27" i="40"/>
  <c r="Q27"/>
  <c r="D96"/>
  <c r="E96"/>
  <c r="F27"/>
  <c r="AA27"/>
  <c r="Z31" i="39"/>
  <c r="Q31"/>
  <c r="D105"/>
  <c r="E105"/>
  <c r="F31"/>
  <c r="AA31" s="1"/>
  <c r="G20" i="20"/>
  <c r="B85" i="46"/>
  <c r="C22" i="20"/>
  <c r="B65" i="46"/>
  <c r="S18" i="36"/>
  <c r="S18" i="35"/>
  <c r="S21" i="37"/>
  <c r="S21" i="21"/>
  <c r="S27" i="40"/>
  <c r="C27"/>
  <c r="C31" i="39"/>
  <c r="B54" i="46"/>
  <c r="B74"/>
  <c r="E66" i="36"/>
  <c r="H18" i="35"/>
  <c r="J18"/>
  <c r="H21" i="37"/>
  <c r="J21"/>
  <c r="E84" i="34"/>
  <c r="F84"/>
  <c r="G84"/>
  <c r="J21"/>
  <c r="H21"/>
  <c r="F21" i="33"/>
  <c r="H21"/>
  <c r="J21"/>
  <c r="F83" i="21"/>
  <c r="H21"/>
  <c r="G83"/>
  <c r="J21"/>
  <c r="F96" i="40"/>
  <c r="H27"/>
  <c r="F105" i="39"/>
  <c r="H31"/>
  <c r="F23" i="15"/>
  <c r="D22" s="1"/>
  <c r="G17" i="11"/>
  <c r="F15" i="15"/>
  <c r="F17"/>
  <c r="F18"/>
  <c r="F20"/>
  <c r="F21"/>
  <c r="F33"/>
  <c r="F60" s="1"/>
  <c r="K2" i="4"/>
  <c r="K1"/>
  <c r="B1"/>
  <c r="B37" i="50" s="1"/>
  <c r="B2" i="63" s="1"/>
  <c r="C31" i="57"/>
  <c r="C32"/>
  <c r="I23"/>
  <c r="D20"/>
  <c r="I19"/>
  <c r="I18"/>
  <c r="I17"/>
  <c r="I20"/>
  <c r="E15"/>
  <c r="I14"/>
  <c r="I13"/>
  <c r="I12"/>
  <c r="I15"/>
  <c r="I9"/>
  <c r="I8"/>
  <c r="I7"/>
  <c r="I6"/>
  <c r="I5"/>
  <c r="I4"/>
  <c r="I3"/>
  <c r="I10"/>
  <c r="I21"/>
  <c r="D1"/>
  <c r="E10"/>
  <c r="C30"/>
  <c r="E26"/>
  <c r="C112" i="9"/>
  <c r="C7" i="11"/>
  <c r="F80" i="46"/>
  <c r="H81" s="1"/>
  <c r="D1"/>
  <c r="F113"/>
  <c r="D99"/>
  <c r="D108" s="1"/>
  <c r="E99"/>
  <c r="E108" s="1"/>
  <c r="F99"/>
  <c r="F100" s="1"/>
  <c r="G99"/>
  <c r="G108" s="1"/>
  <c r="H99"/>
  <c r="H108" s="1"/>
  <c r="I99"/>
  <c r="I108" s="1"/>
  <c r="J99"/>
  <c r="J108" s="1"/>
  <c r="K99"/>
  <c r="K108" s="1"/>
  <c r="L99"/>
  <c r="L100" s="1"/>
  <c r="M99"/>
  <c r="M108" s="1"/>
  <c r="N99"/>
  <c r="N108" s="1"/>
  <c r="C99"/>
  <c r="C108" s="1"/>
  <c r="L108"/>
  <c r="K58"/>
  <c r="J58" s="1"/>
  <c r="D58"/>
  <c r="K50"/>
  <c r="D83"/>
  <c r="D77"/>
  <c r="B83"/>
  <c r="B82"/>
  <c r="B71"/>
  <c r="B60"/>
  <c r="B49"/>
  <c r="M87"/>
  <c r="N87" s="1"/>
  <c r="K87"/>
  <c r="J87" s="1"/>
  <c r="D87"/>
  <c r="M86"/>
  <c r="N86" s="1"/>
  <c r="D86"/>
  <c r="K86"/>
  <c r="J86" s="1"/>
  <c r="M85"/>
  <c r="N85" s="1"/>
  <c r="D85"/>
  <c r="K85"/>
  <c r="J85" s="1"/>
  <c r="M84"/>
  <c r="N84" s="1"/>
  <c r="K84"/>
  <c r="J84" s="1"/>
  <c r="M83"/>
  <c r="N83" s="1"/>
  <c r="K83"/>
  <c r="J83" s="1"/>
  <c r="M82"/>
  <c r="N82" s="1"/>
  <c r="K82"/>
  <c r="J82" s="1"/>
  <c r="D82"/>
  <c r="M81"/>
  <c r="N81" s="1"/>
  <c r="K81"/>
  <c r="J81" s="1"/>
  <c r="M80"/>
  <c r="N80" s="1"/>
  <c r="K80"/>
  <c r="J80" s="1"/>
  <c r="M77"/>
  <c r="N77" s="1"/>
  <c r="K77"/>
  <c r="J77" s="1"/>
  <c r="M76"/>
  <c r="N76" s="1"/>
  <c r="D76"/>
  <c r="K76"/>
  <c r="J76"/>
  <c r="M75"/>
  <c r="N75"/>
  <c r="K75"/>
  <c r="J75"/>
  <c r="M74"/>
  <c r="N74"/>
  <c r="K74"/>
  <c r="J74"/>
  <c r="D74"/>
  <c r="M73"/>
  <c r="D73"/>
  <c r="K73"/>
  <c r="J73" s="1"/>
  <c r="M72"/>
  <c r="N72" s="1"/>
  <c r="K72"/>
  <c r="J72" s="1"/>
  <c r="D72"/>
  <c r="M71"/>
  <c r="N71" s="1"/>
  <c r="K71"/>
  <c r="J71" s="1"/>
  <c r="M70"/>
  <c r="N70" s="1"/>
  <c r="K70"/>
  <c r="J70" s="1"/>
  <c r="D70"/>
  <c r="M69"/>
  <c r="N69" s="1"/>
  <c r="K69"/>
  <c r="J69" s="1"/>
  <c r="M66"/>
  <c r="N66" s="1"/>
  <c r="K66"/>
  <c r="M65"/>
  <c r="N65" s="1"/>
  <c r="K65"/>
  <c r="J65" s="1"/>
  <c r="D65"/>
  <c r="M64"/>
  <c r="N64" s="1"/>
  <c r="K64"/>
  <c r="J64" s="1"/>
  <c r="M63"/>
  <c r="N63" s="1"/>
  <c r="K63"/>
  <c r="J63" s="1"/>
  <c r="D63"/>
  <c r="M62"/>
  <c r="N62" s="1"/>
  <c r="K62"/>
  <c r="J62" s="1"/>
  <c r="D62"/>
  <c r="M61"/>
  <c r="N61" s="1"/>
  <c r="K61"/>
  <c r="J61" s="1"/>
  <c r="D61"/>
  <c r="M60"/>
  <c r="N60" s="1"/>
  <c r="K60"/>
  <c r="J60" s="1"/>
  <c r="M59"/>
  <c r="N59" s="1"/>
  <c r="K59"/>
  <c r="J59" s="1"/>
  <c r="D59"/>
  <c r="M58"/>
  <c r="N58" s="1"/>
  <c r="M55"/>
  <c r="N55" s="1"/>
  <c r="K55"/>
  <c r="J55" s="1"/>
  <c r="M54"/>
  <c r="N54" s="1"/>
  <c r="K54"/>
  <c r="M53"/>
  <c r="N53" s="1"/>
  <c r="K53"/>
  <c r="J53" s="1"/>
  <c r="D53"/>
  <c r="M52"/>
  <c r="N52" s="1"/>
  <c r="K52"/>
  <c r="J52" s="1"/>
  <c r="D52"/>
  <c r="M51"/>
  <c r="N51" s="1"/>
  <c r="K51"/>
  <c r="J51" s="1"/>
  <c r="M50"/>
  <c r="N50" s="1"/>
  <c r="M49"/>
  <c r="N49" s="1"/>
  <c r="K49"/>
  <c r="J49" s="1"/>
  <c r="D49"/>
  <c r="M48"/>
  <c r="N48" s="1"/>
  <c r="K48"/>
  <c r="J48" s="1"/>
  <c r="D48"/>
  <c r="M47"/>
  <c r="N47" s="1"/>
  <c r="K47"/>
  <c r="J47" s="1"/>
  <c r="D47"/>
  <c r="D51"/>
  <c r="D55"/>
  <c r="D80"/>
  <c r="D81"/>
  <c r="N73"/>
  <c r="D75"/>
  <c r="J66"/>
  <c r="D66"/>
  <c r="J50"/>
  <c r="D50"/>
  <c r="J54"/>
  <c r="D54"/>
  <c r="Q73" i="15"/>
  <c r="Q60"/>
  <c r="Q59"/>
  <c r="Q52"/>
  <c r="AE9" i="1"/>
  <c r="AE10"/>
  <c r="AE11"/>
  <c r="AE12"/>
  <c r="AE13"/>
  <c r="M47" i="15"/>
  <c r="AG7" i="1"/>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F12"/>
  <c r="AP12" s="1"/>
  <c r="F13"/>
  <c r="AP13" s="1"/>
  <c r="D11"/>
  <c r="D12"/>
  <c r="D13"/>
  <c r="D6"/>
  <c r="D7"/>
  <c r="D8"/>
  <c r="D9"/>
  <c r="F10"/>
  <c r="AP10" s="1"/>
  <c r="D10"/>
  <c r="B2"/>
  <c r="C42" s="1"/>
  <c r="A12"/>
  <c r="R12"/>
  <c r="A13"/>
  <c r="B13"/>
  <c r="E13"/>
  <c r="A7"/>
  <c r="A8"/>
  <c r="A9"/>
  <c r="A10"/>
  <c r="R10"/>
  <c r="A11"/>
  <c r="A6"/>
  <c r="T4"/>
  <c r="K12"/>
  <c r="M12" s="1"/>
  <c r="K13"/>
  <c r="M13" s="1"/>
  <c r="G79" i="36"/>
  <c r="G85" i="35"/>
  <c r="G97" i="37"/>
  <c r="G110" i="34"/>
  <c r="G109" i="33"/>
  <c r="L2" i="31"/>
  <c r="K2"/>
  <c r="J2"/>
  <c r="I2"/>
  <c r="H2"/>
  <c r="G2"/>
  <c r="F2"/>
  <c r="E2"/>
  <c r="D2"/>
  <c r="C2"/>
  <c r="D60" i="15"/>
  <c r="G19" i="20"/>
  <c r="B84" i="46"/>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Z2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c r="C62" s="1"/>
  <c r="H61"/>
  <c r="I61"/>
  <c r="C61"/>
  <c r="H60"/>
  <c r="H59"/>
  <c r="H58"/>
  <c r="I58"/>
  <c r="C58" s="1"/>
  <c r="H57"/>
  <c r="I57"/>
  <c r="C57"/>
  <c r="H56"/>
  <c r="I56"/>
  <c r="C56"/>
  <c r="H55"/>
  <c r="I55"/>
  <c r="C55"/>
  <c r="H54"/>
  <c r="I54"/>
  <c r="C54"/>
  <c r="H63" i="39"/>
  <c r="I63" s="1"/>
  <c r="C63" s="1"/>
  <c r="H59"/>
  <c r="I59"/>
  <c r="C59"/>
  <c r="H67"/>
  <c r="I67" s="1"/>
  <c r="C67" s="1"/>
  <c r="H66"/>
  <c r="I66"/>
  <c r="C66"/>
  <c r="H65"/>
  <c r="I65" s="1"/>
  <c r="C65" s="1"/>
  <c r="H64"/>
  <c r="I64" s="1"/>
  <c r="C64" s="1"/>
  <c r="H62"/>
  <c r="I62"/>
  <c r="C62"/>
  <c r="H61"/>
  <c r="I61"/>
  <c r="C61"/>
  <c r="H60"/>
  <c r="I60"/>
  <c r="C60"/>
  <c r="L25" i="4"/>
  <c r="C109" i="9"/>
  <c r="C145" i="21"/>
  <c r="J142"/>
  <c r="J140"/>
  <c r="K145"/>
  <c r="K139"/>
  <c r="M87"/>
  <c r="L87"/>
  <c r="K87"/>
  <c r="J87"/>
  <c r="I87"/>
  <c r="H87"/>
  <c r="G87"/>
  <c r="F87"/>
  <c r="E87"/>
  <c r="D87"/>
  <c r="G2" i="46"/>
  <c r="H17" s="1"/>
  <c r="G19"/>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c r="N3" i="54"/>
  <c r="B42" i="63" s="1"/>
  <c r="A2" i="9"/>
  <c r="T16" i="4"/>
  <c r="D14"/>
  <c r="M4" i="9"/>
  <c r="L4"/>
  <c r="G36" i="4"/>
  <c r="K2" i="54"/>
  <c r="B23" i="63" s="1"/>
  <c r="A3" i="51"/>
  <c r="R41" i="4"/>
  <c r="Q41"/>
  <c r="P41"/>
  <c r="O41"/>
  <c r="N41"/>
  <c r="M41"/>
  <c r="L41"/>
  <c r="K40"/>
  <c r="T40"/>
  <c r="F23"/>
  <c r="D19"/>
  <c r="I19"/>
  <c r="H19"/>
  <c r="G19"/>
  <c r="F9" i="1"/>
  <c r="AP9" s="1"/>
  <c r="F19" i="4"/>
  <c r="F8" i="1"/>
  <c r="AP8" s="1"/>
  <c r="E19" i="4"/>
  <c r="F7" i="1"/>
  <c r="G7" s="1"/>
  <c r="B2" i="52"/>
  <c r="B15" s="1"/>
  <c r="I2" i="46"/>
  <c r="N12" s="1"/>
  <c r="A7"/>
  <c r="F41" i="4"/>
  <c r="J52" i="40"/>
  <c r="H61" i="49"/>
  <c r="H39" i="46"/>
  <c r="H38"/>
  <c r="H37"/>
  <c r="H36"/>
  <c r="H35"/>
  <c r="H34"/>
  <c r="H33"/>
  <c r="J20"/>
  <c r="C18"/>
  <c r="F15"/>
  <c r="E15"/>
  <c r="D15"/>
  <c r="C15"/>
  <c r="C10"/>
  <c r="C11" s="1"/>
  <c r="C9"/>
  <c r="E19" i="6"/>
  <c r="E32"/>
  <c r="E21"/>
  <c r="K8" i="1"/>
  <c r="M8" s="1"/>
  <c r="O8" s="1"/>
  <c r="P8" s="1"/>
  <c r="E22" i="6"/>
  <c r="E23"/>
  <c r="E24"/>
  <c r="E25"/>
  <c r="E26"/>
  <c r="D38" i="4"/>
  <c r="C39"/>
  <c r="C35"/>
  <c r="E16" i="12"/>
  <c r="F14"/>
  <c r="F15"/>
  <c r="F17"/>
  <c r="E19"/>
  <c r="E21"/>
  <c r="E22"/>
  <c r="F23"/>
  <c r="F24"/>
  <c r="C43" i="9"/>
  <c r="K47"/>
  <c r="B65" i="63"/>
  <c r="I73" i="9"/>
  <c r="F73"/>
  <c r="P73" s="1"/>
  <c r="D107"/>
  <c r="C107" s="1"/>
  <c r="C105" s="1"/>
  <c r="C110" s="1"/>
  <c r="C17"/>
  <c r="D17"/>
  <c r="C18"/>
  <c r="F17" i="44"/>
  <c r="F19"/>
  <c r="F22"/>
  <c r="F25"/>
  <c r="D25" s="1"/>
  <c r="F23"/>
  <c r="E16" i="43"/>
  <c r="F14"/>
  <c r="F15"/>
  <c r="F17"/>
  <c r="F19"/>
  <c r="F20"/>
  <c r="F10" i="40"/>
  <c r="AA10"/>
  <c r="F11"/>
  <c r="AA11"/>
  <c r="C21"/>
  <c r="C32"/>
  <c r="F36"/>
  <c r="AA36"/>
  <c r="H10"/>
  <c r="AB10"/>
  <c r="H11"/>
  <c r="AB11"/>
  <c r="H36"/>
  <c r="AB36"/>
  <c r="J10"/>
  <c r="AC10"/>
  <c r="J11"/>
  <c r="AC11"/>
  <c r="J36"/>
  <c r="AC36"/>
  <c r="F10" i="39"/>
  <c r="AA10"/>
  <c r="F11"/>
  <c r="AA11" s="1"/>
  <c r="C25"/>
  <c r="F36"/>
  <c r="AA36" s="1"/>
  <c r="F40"/>
  <c r="AA40"/>
  <c r="F42"/>
  <c r="AA42"/>
  <c r="H10"/>
  <c r="AB10"/>
  <c r="H11"/>
  <c r="AB11" s="1"/>
  <c r="H36"/>
  <c r="AB36"/>
  <c r="H40"/>
  <c r="AB40"/>
  <c r="H42"/>
  <c r="AB42"/>
  <c r="J10"/>
  <c r="AC10"/>
  <c r="J11"/>
  <c r="AC11" s="1"/>
  <c r="J36"/>
  <c r="AC36" s="1"/>
  <c r="J40"/>
  <c r="AC40"/>
  <c r="J42"/>
  <c r="AC42"/>
  <c r="F35" i="44"/>
  <c r="M21"/>
  <c r="F20"/>
  <c r="C6" i="43"/>
  <c r="K9"/>
  <c r="J9"/>
  <c r="I9"/>
  <c r="H9"/>
  <c r="G9"/>
  <c r="F9"/>
  <c r="E9"/>
  <c r="D9"/>
  <c r="C9"/>
  <c r="BC13" i="3"/>
  <c r="BB13"/>
  <c r="BR13"/>
  <c r="B24" i="1"/>
  <c r="E77" i="9"/>
  <c r="O75"/>
  <c r="L75"/>
  <c r="F77"/>
  <c r="P75"/>
  <c r="O74"/>
  <c r="O73"/>
  <c r="E66"/>
  <c r="O72"/>
  <c r="F74"/>
  <c r="P74"/>
  <c r="N67"/>
  <c r="K44"/>
  <c r="K43"/>
  <c r="B31" i="1"/>
  <c r="E10" i="11" s="1"/>
  <c r="B22" i="1"/>
  <c r="C2" i="65"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c r="C30" i="40"/>
  <c r="G12" i="1"/>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c r="G48"/>
  <c r="H48"/>
  <c r="E48"/>
  <c r="F48"/>
  <c r="I55" i="34"/>
  <c r="J55" s="1"/>
  <c r="G55"/>
  <c r="H55" s="1"/>
  <c r="E55"/>
  <c r="F55" s="1"/>
  <c r="I50" i="40"/>
  <c r="J50"/>
  <c r="G50"/>
  <c r="H50"/>
  <c r="E50"/>
  <c r="F50"/>
  <c r="I55" i="39"/>
  <c r="J55"/>
  <c r="G55"/>
  <c r="H55"/>
  <c r="E55"/>
  <c r="F55"/>
  <c r="I42" i="36"/>
  <c r="J42"/>
  <c r="G42"/>
  <c r="H42"/>
  <c r="E42"/>
  <c r="F42"/>
  <c r="I44" i="35"/>
  <c r="J44"/>
  <c r="G44"/>
  <c r="H44"/>
  <c r="E44"/>
  <c r="F44"/>
  <c r="I54" i="33"/>
  <c r="J54"/>
  <c r="G54"/>
  <c r="E54"/>
  <c r="F54"/>
  <c r="H14" i="3"/>
  <c r="AC14"/>
  <c r="G14"/>
  <c r="H15"/>
  <c r="AC15"/>
  <c r="G15"/>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c r="F30"/>
  <c r="AA30"/>
  <c r="C26" i="35"/>
  <c r="C79"/>
  <c r="J31"/>
  <c r="H31"/>
  <c r="F31"/>
  <c r="D87"/>
  <c r="E87"/>
  <c r="F87"/>
  <c r="G87"/>
  <c r="H87"/>
  <c r="I87"/>
  <c r="J87"/>
  <c r="K87"/>
  <c r="L87"/>
  <c r="M87"/>
  <c r="H34" i="37"/>
  <c r="AB34"/>
  <c r="D101"/>
  <c r="F34"/>
  <c r="D99"/>
  <c r="E99"/>
  <c r="H42" i="34"/>
  <c r="J42"/>
  <c r="F42"/>
  <c r="J38"/>
  <c r="D114"/>
  <c r="F38"/>
  <c r="S38" s="1"/>
  <c r="D112"/>
  <c r="E112"/>
  <c r="F112" s="1"/>
  <c r="G112" s="1"/>
  <c r="F40" i="33"/>
  <c r="J41"/>
  <c r="AC41"/>
  <c r="D113"/>
  <c r="F37"/>
  <c r="AA37"/>
  <c r="D111"/>
  <c r="E111"/>
  <c r="F111"/>
  <c r="G111"/>
  <c r="H111"/>
  <c r="I111"/>
  <c r="J111"/>
  <c r="K111"/>
  <c r="L111"/>
  <c r="M111"/>
  <c r="S515" i="31"/>
  <c r="S517"/>
  <c r="S519"/>
  <c r="S521"/>
  <c r="S523"/>
  <c r="F41" i="21"/>
  <c r="J41"/>
  <c r="AC41"/>
  <c r="H41"/>
  <c r="U41"/>
  <c r="D83" i="39"/>
  <c r="E83"/>
  <c r="F83" s="1"/>
  <c r="G83" s="1"/>
  <c r="H83" s="1"/>
  <c r="I83" s="1"/>
  <c r="J83" s="1"/>
  <c r="K83" s="1"/>
  <c r="L83" s="1"/>
  <c r="M83" s="1"/>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C67" s="1"/>
  <c r="D126" i="39"/>
  <c r="E126"/>
  <c r="F126"/>
  <c r="G126"/>
  <c r="H126"/>
  <c r="I126"/>
  <c r="J126"/>
  <c r="K126"/>
  <c r="L126"/>
  <c r="M126"/>
  <c r="D122"/>
  <c r="E122"/>
  <c r="F122"/>
  <c r="G122"/>
  <c r="H122"/>
  <c r="I122"/>
  <c r="J122"/>
  <c r="K122"/>
  <c r="L122"/>
  <c r="M122"/>
  <c r="B116"/>
  <c r="D111"/>
  <c r="E111" s="1"/>
  <c r="F111" s="1"/>
  <c r="G111" s="1"/>
  <c r="H111" s="1"/>
  <c r="I111" s="1"/>
  <c r="J111" s="1"/>
  <c r="K111" s="1"/>
  <c r="L111" s="1"/>
  <c r="M111" s="1"/>
  <c r="D109"/>
  <c r="E109"/>
  <c r="F109"/>
  <c r="G109"/>
  <c r="H109"/>
  <c r="I109"/>
  <c r="J109"/>
  <c r="K109"/>
  <c r="L109"/>
  <c r="M109"/>
  <c r="D107"/>
  <c r="E107" s="1"/>
  <c r="F107" s="1"/>
  <c r="G107" s="1"/>
  <c r="H107" s="1"/>
  <c r="I107" s="1"/>
  <c r="J107" s="1"/>
  <c r="K107" s="1"/>
  <c r="L107" s="1"/>
  <c r="M107" s="1"/>
  <c r="D103"/>
  <c r="D101"/>
  <c r="E101"/>
  <c r="F101"/>
  <c r="G101"/>
  <c r="Q41"/>
  <c r="Z41"/>
  <c r="Q42"/>
  <c r="Z42"/>
  <c r="Q43"/>
  <c r="Q44"/>
  <c r="Z44"/>
  <c r="Q45"/>
  <c r="Z45"/>
  <c r="Q46"/>
  <c r="Z46"/>
  <c r="Q47"/>
  <c r="Z47"/>
  <c r="Q40"/>
  <c r="Z40"/>
  <c r="Q38"/>
  <c r="Z38" s="1"/>
  <c r="Q39"/>
  <c r="Z39" s="1"/>
  <c r="Z43"/>
  <c r="M118"/>
  <c r="L118"/>
  <c r="K118"/>
  <c r="J118"/>
  <c r="I118"/>
  <c r="H118"/>
  <c r="G118"/>
  <c r="F118"/>
  <c r="E118"/>
  <c r="D118"/>
  <c r="C118"/>
  <c r="B133"/>
  <c r="B131"/>
  <c r="B129"/>
  <c r="D128"/>
  <c r="D124"/>
  <c r="E124"/>
  <c r="F124"/>
  <c r="G124"/>
  <c r="H124"/>
  <c r="I124"/>
  <c r="J124"/>
  <c r="K124"/>
  <c r="L124"/>
  <c r="M124"/>
  <c r="B106"/>
  <c r="D99"/>
  <c r="E99"/>
  <c r="F99"/>
  <c r="G99"/>
  <c r="D97"/>
  <c r="D95"/>
  <c r="E95"/>
  <c r="F95"/>
  <c r="G95"/>
  <c r="D93"/>
  <c r="E93" s="1"/>
  <c r="F93" s="1"/>
  <c r="G93" s="1"/>
  <c r="D91"/>
  <c r="E91" s="1"/>
  <c r="F91" s="1"/>
  <c r="G91" s="1"/>
  <c r="B88"/>
  <c r="B86"/>
  <c r="B84"/>
  <c r="M81"/>
  <c r="L81"/>
  <c r="K81"/>
  <c r="J81"/>
  <c r="I81"/>
  <c r="H81"/>
  <c r="G81"/>
  <c r="F81"/>
  <c r="E81"/>
  <c r="D81"/>
  <c r="C81"/>
  <c r="P50"/>
  <c r="P49"/>
  <c r="V48"/>
  <c r="T48"/>
  <c r="R48"/>
  <c r="P48"/>
  <c r="Q37"/>
  <c r="Z37" s="1"/>
  <c r="Q36"/>
  <c r="Z36" s="1"/>
  <c r="Q34"/>
  <c r="Z34"/>
  <c r="Q33"/>
  <c r="Z33" s="1"/>
  <c r="Q29"/>
  <c r="Z29"/>
  <c r="Q27"/>
  <c r="Z27"/>
  <c r="Q25"/>
  <c r="Z25"/>
  <c r="Q23"/>
  <c r="Z23"/>
  <c r="Q21"/>
  <c r="Z21"/>
  <c r="Q19"/>
  <c r="Z19" s="1"/>
  <c r="Q17"/>
  <c r="Z17" s="1"/>
  <c r="Q16"/>
  <c r="Z16" s="1"/>
  <c r="Q15"/>
  <c r="Z15" s="1"/>
  <c r="Q14"/>
  <c r="Z14" s="1"/>
  <c r="Q13"/>
  <c r="Z13"/>
  <c r="Q12"/>
  <c r="Z12"/>
  <c r="Q11"/>
  <c r="Z11"/>
  <c r="U10"/>
  <c r="C9"/>
  <c r="C70"/>
  <c r="D70" s="1"/>
  <c r="E70" s="1"/>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H26"/>
  <c r="AB26"/>
  <c r="F26"/>
  <c r="AA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D89" i="35"/>
  <c r="H30"/>
  <c r="U30"/>
  <c r="M90"/>
  <c r="L90"/>
  <c r="K90"/>
  <c r="J90"/>
  <c r="I90"/>
  <c r="H90"/>
  <c r="G90"/>
  <c r="F90"/>
  <c r="E90"/>
  <c r="D90"/>
  <c r="C90"/>
  <c r="F85"/>
  <c r="E85"/>
  <c r="D85"/>
  <c r="C85"/>
  <c r="J27"/>
  <c r="W27"/>
  <c r="H27"/>
  <c r="U27"/>
  <c r="F27"/>
  <c r="AA27"/>
  <c r="J22"/>
  <c r="AC22"/>
  <c r="B101"/>
  <c r="H36"/>
  <c r="B99"/>
  <c r="B97"/>
  <c r="B77"/>
  <c r="B75"/>
  <c r="J24"/>
  <c r="AC24"/>
  <c r="B73"/>
  <c r="B57"/>
  <c r="B61"/>
  <c r="B59"/>
  <c r="H12"/>
  <c r="B131" i="34"/>
  <c r="B129"/>
  <c r="B127"/>
  <c r="B99"/>
  <c r="B97"/>
  <c r="B95"/>
  <c r="B93"/>
  <c r="B75"/>
  <c r="B73"/>
  <c r="B71"/>
  <c r="B130" i="33"/>
  <c r="B128"/>
  <c r="H45"/>
  <c r="U45"/>
  <c r="B126"/>
  <c r="B98"/>
  <c r="F31"/>
  <c r="AA31"/>
  <c r="B96"/>
  <c r="B94"/>
  <c r="B74"/>
  <c r="B72"/>
  <c r="B70"/>
  <c r="D96" i="35"/>
  <c r="E96"/>
  <c r="F96"/>
  <c r="G96"/>
  <c r="D94"/>
  <c r="D84"/>
  <c r="E84"/>
  <c r="F84"/>
  <c r="G84"/>
  <c r="H84"/>
  <c r="I84"/>
  <c r="J84"/>
  <c r="K84"/>
  <c r="L84"/>
  <c r="M84"/>
  <c r="D80"/>
  <c r="D72"/>
  <c r="D70"/>
  <c r="E70"/>
  <c r="F70"/>
  <c r="G70"/>
  <c r="D66"/>
  <c r="E66"/>
  <c r="F66"/>
  <c r="G66"/>
  <c r="D64"/>
  <c r="E64"/>
  <c r="F64"/>
  <c r="G64"/>
  <c r="F56"/>
  <c r="G56"/>
  <c r="H56"/>
  <c r="I56"/>
  <c r="C53"/>
  <c r="H9"/>
  <c r="AB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C7"/>
  <c r="D120" i="34"/>
  <c r="E120"/>
  <c r="F120"/>
  <c r="G120"/>
  <c r="H120"/>
  <c r="I120"/>
  <c r="J120"/>
  <c r="K120"/>
  <c r="L120"/>
  <c r="M120"/>
  <c r="D90"/>
  <c r="C15"/>
  <c r="F67"/>
  <c r="G67"/>
  <c r="H67"/>
  <c r="I67"/>
  <c r="H10"/>
  <c r="AB10" s="1"/>
  <c r="D126"/>
  <c r="E126" s="1"/>
  <c r="F126" s="1"/>
  <c r="G126" s="1"/>
  <c r="D124"/>
  <c r="E124"/>
  <c r="F124"/>
  <c r="G124"/>
  <c r="H124"/>
  <c r="I124"/>
  <c r="J124"/>
  <c r="K124"/>
  <c r="L124"/>
  <c r="M124"/>
  <c r="J43"/>
  <c r="W43" s="1"/>
  <c r="D118"/>
  <c r="E118"/>
  <c r="F118"/>
  <c r="G118"/>
  <c r="H40"/>
  <c r="U40" s="1"/>
  <c r="D116"/>
  <c r="E116"/>
  <c r="F116"/>
  <c r="G116"/>
  <c r="H116"/>
  <c r="I116"/>
  <c r="J116"/>
  <c r="K116"/>
  <c r="L116"/>
  <c r="M116"/>
  <c r="F110"/>
  <c r="E110"/>
  <c r="D110"/>
  <c r="C110"/>
  <c r="D109"/>
  <c r="E109" s="1"/>
  <c r="F109" s="1"/>
  <c r="G109" s="1"/>
  <c r="H109" s="1"/>
  <c r="I109" s="1"/>
  <c r="J109" s="1"/>
  <c r="K109" s="1"/>
  <c r="L109" s="1"/>
  <c r="M109" s="1"/>
  <c r="J36"/>
  <c r="W36" s="1"/>
  <c r="D107"/>
  <c r="E107"/>
  <c r="F35"/>
  <c r="AA35" s="1"/>
  <c r="M103"/>
  <c r="L103"/>
  <c r="K103"/>
  <c r="J103"/>
  <c r="I103"/>
  <c r="H103"/>
  <c r="G103"/>
  <c r="F103"/>
  <c r="E103"/>
  <c r="D103"/>
  <c r="C103"/>
  <c r="D102"/>
  <c r="E102"/>
  <c r="F102"/>
  <c r="G102"/>
  <c r="H102"/>
  <c r="I102"/>
  <c r="J102"/>
  <c r="K102"/>
  <c r="L102"/>
  <c r="M102"/>
  <c r="H33"/>
  <c r="U33" s="1"/>
  <c r="D92"/>
  <c r="E92" s="1"/>
  <c r="F92" s="1"/>
  <c r="G92" s="1"/>
  <c r="H92" s="1"/>
  <c r="I92" s="1"/>
  <c r="J92" s="1"/>
  <c r="K92" s="1"/>
  <c r="L92" s="1"/>
  <c r="M92" s="1"/>
  <c r="B91"/>
  <c r="F28" s="1"/>
  <c r="B89"/>
  <c r="J27"/>
  <c r="D88"/>
  <c r="E88" s="1"/>
  <c r="F88" s="1"/>
  <c r="G88" s="1"/>
  <c r="H88" s="1"/>
  <c r="I88" s="1"/>
  <c r="J88" s="1"/>
  <c r="K88" s="1"/>
  <c r="L88" s="1"/>
  <c r="M88" s="1"/>
  <c r="D86"/>
  <c r="E86" s="1"/>
  <c r="D82"/>
  <c r="E82"/>
  <c r="F82"/>
  <c r="G82"/>
  <c r="D80"/>
  <c r="D78"/>
  <c r="D70"/>
  <c r="E70" s="1"/>
  <c r="F70" s="1"/>
  <c r="G70" s="1"/>
  <c r="H70" s="1"/>
  <c r="I70" s="1"/>
  <c r="J70" s="1"/>
  <c r="K70" s="1"/>
  <c r="L70" s="1"/>
  <c r="M70" s="1"/>
  <c r="M68"/>
  <c r="L68"/>
  <c r="K68"/>
  <c r="J68"/>
  <c r="I68"/>
  <c r="H68"/>
  <c r="G68"/>
  <c r="F68"/>
  <c r="E68"/>
  <c r="D68"/>
  <c r="C68"/>
  <c r="C64"/>
  <c r="P50"/>
  <c r="P49"/>
  <c r="V48"/>
  <c r="T48"/>
  <c r="R48"/>
  <c r="P48"/>
  <c r="Q47"/>
  <c r="Z47" s="1"/>
  <c r="Q46"/>
  <c r="Z46"/>
  <c r="Q45"/>
  <c r="Z45"/>
  <c r="Q44"/>
  <c r="Z44" s="1"/>
  <c r="H44"/>
  <c r="AB44" s="1"/>
  <c r="Q43"/>
  <c r="Z43"/>
  <c r="F43"/>
  <c r="AA43" s="1"/>
  <c r="Q42"/>
  <c r="Z42" s="1"/>
  <c r="Q41"/>
  <c r="Z41"/>
  <c r="Q40"/>
  <c r="Z40"/>
  <c r="F40"/>
  <c r="S40" s="1"/>
  <c r="Q39"/>
  <c r="Z39"/>
  <c r="J39"/>
  <c r="AC39" s="1"/>
  <c r="H39"/>
  <c r="U39" s="1"/>
  <c r="F39"/>
  <c r="S39" s="1"/>
  <c r="Q38"/>
  <c r="Z38"/>
  <c r="Q37"/>
  <c r="Z37"/>
  <c r="Q36"/>
  <c r="Z36"/>
  <c r="Q35"/>
  <c r="Z35"/>
  <c r="Q34"/>
  <c r="Z34"/>
  <c r="J34"/>
  <c r="H34"/>
  <c r="AB34" s="1"/>
  <c r="F34"/>
  <c r="AA34" s="1"/>
  <c r="Q33"/>
  <c r="Z33"/>
  <c r="Q32"/>
  <c r="Z32"/>
  <c r="Q31"/>
  <c r="Z31"/>
  <c r="Q30"/>
  <c r="Z30"/>
  <c r="Q29"/>
  <c r="Z29"/>
  <c r="Q28"/>
  <c r="Z28"/>
  <c r="Q27"/>
  <c r="Z27"/>
  <c r="Q25"/>
  <c r="Z25"/>
  <c r="Q23"/>
  <c r="Z23"/>
  <c r="C23"/>
  <c r="Q19"/>
  <c r="Z19"/>
  <c r="C19"/>
  <c r="Q17"/>
  <c r="Z17"/>
  <c r="C17"/>
  <c r="Q15"/>
  <c r="Z15"/>
  <c r="Q14"/>
  <c r="Z14" s="1"/>
  <c r="Q13"/>
  <c r="Z13"/>
  <c r="Q12"/>
  <c r="Z12"/>
  <c r="Q11"/>
  <c r="Z11"/>
  <c r="Q10"/>
  <c r="Z10"/>
  <c r="F10"/>
  <c r="AA10" s="1"/>
  <c r="Q9"/>
  <c r="Z9"/>
  <c r="J9"/>
  <c r="AC9" s="1"/>
  <c r="H9"/>
  <c r="AB9" s="1"/>
  <c r="F9"/>
  <c r="S9" s="1"/>
  <c r="J8"/>
  <c r="AC8" s="1"/>
  <c r="H8"/>
  <c r="U8" s="1"/>
  <c r="F8"/>
  <c r="AA8" s="1"/>
  <c r="C7"/>
  <c r="C59" s="1"/>
  <c r="D121" i="33"/>
  <c r="F109"/>
  <c r="E109"/>
  <c r="D109"/>
  <c r="C109"/>
  <c r="D91"/>
  <c r="E91"/>
  <c r="F91"/>
  <c r="G91"/>
  <c r="H91"/>
  <c r="I91"/>
  <c r="J91"/>
  <c r="K91"/>
  <c r="L91"/>
  <c r="M91"/>
  <c r="B88"/>
  <c r="J26"/>
  <c r="AC26"/>
  <c r="C23"/>
  <c r="C19"/>
  <c r="C17"/>
  <c r="C15"/>
  <c r="C15" i="21"/>
  <c r="D125" i="33"/>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F101"/>
  <c r="G101"/>
  <c r="H101"/>
  <c r="I101"/>
  <c r="J101"/>
  <c r="K101"/>
  <c r="L101"/>
  <c r="M101"/>
  <c r="B92"/>
  <c r="B90"/>
  <c r="H27"/>
  <c r="U27"/>
  <c r="D87"/>
  <c r="E87"/>
  <c r="D85"/>
  <c r="E85"/>
  <c r="D81"/>
  <c r="E81"/>
  <c r="F81"/>
  <c r="G81"/>
  <c r="D79"/>
  <c r="E79"/>
  <c r="D77"/>
  <c r="E77"/>
  <c r="F77"/>
  <c r="G77"/>
  <c r="D69"/>
  <c r="E69"/>
  <c r="F69"/>
  <c r="G69"/>
  <c r="H69"/>
  <c r="I69"/>
  <c r="J69"/>
  <c r="K69"/>
  <c r="L69"/>
  <c r="M69"/>
  <c r="M67"/>
  <c r="L67"/>
  <c r="K67"/>
  <c r="J67"/>
  <c r="I67"/>
  <c r="H67"/>
  <c r="G67"/>
  <c r="F67"/>
  <c r="E67"/>
  <c r="D67"/>
  <c r="C67"/>
  <c r="G66"/>
  <c r="C63"/>
  <c r="H54"/>
  <c r="P49"/>
  <c r="P48"/>
  <c r="V47"/>
  <c r="T47"/>
  <c r="R47"/>
  <c r="P47"/>
  <c r="Q46"/>
  <c r="Z46"/>
  <c r="Q45"/>
  <c r="Z45"/>
  <c r="Q44"/>
  <c r="Z44"/>
  <c r="Q43"/>
  <c r="Z43"/>
  <c r="Q42"/>
  <c r="Z42"/>
  <c r="J42"/>
  <c r="AC42"/>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J12"/>
  <c r="W12"/>
  <c r="H12"/>
  <c r="U12"/>
  <c r="F12"/>
  <c r="S12"/>
  <c r="Q11"/>
  <c r="Z11"/>
  <c r="Q10"/>
  <c r="Z10"/>
  <c r="Q9"/>
  <c r="Z9"/>
  <c r="J9"/>
  <c r="AC9"/>
  <c r="H9"/>
  <c r="AB9"/>
  <c r="F9"/>
  <c r="AA9"/>
  <c r="J8"/>
  <c r="W8"/>
  <c r="H8"/>
  <c r="F8"/>
  <c r="C7"/>
  <c r="C58" s="1"/>
  <c r="M102" i="21"/>
  <c r="D102"/>
  <c r="E102"/>
  <c r="F102"/>
  <c r="G102"/>
  <c r="H102"/>
  <c r="I102"/>
  <c r="J102"/>
  <c r="K102"/>
  <c r="L102"/>
  <c r="C102"/>
  <c r="C63"/>
  <c r="F9"/>
  <c r="S9"/>
  <c r="G18" i="20"/>
  <c r="B87" i="46"/>
  <c r="C25" i="40"/>
  <c r="G16" i="20"/>
  <c r="B81" i="46"/>
  <c r="G15" i="20"/>
  <c r="B80" i="46"/>
  <c r="C24" i="20"/>
  <c r="B72" i="46" s="1"/>
  <c r="C21" i="20"/>
  <c r="B73" i="46" s="1"/>
  <c r="C20" i="20"/>
  <c r="B76" i="46" s="1"/>
  <c r="C18" i="20"/>
  <c r="B70" i="46" s="1"/>
  <c r="C17" i="20"/>
  <c r="B58" i="46" s="1"/>
  <c r="C16" i="20"/>
  <c r="B47" i="46"/>
  <c r="C15" i="20"/>
  <c r="B69" i="46"/>
  <c r="E54" i="21"/>
  <c r="F54"/>
  <c r="I54"/>
  <c r="J54"/>
  <c r="G54"/>
  <c r="H54"/>
  <c r="D125"/>
  <c r="E125"/>
  <c r="D123"/>
  <c r="E123"/>
  <c r="F123"/>
  <c r="G123"/>
  <c r="H123"/>
  <c r="I123"/>
  <c r="J123"/>
  <c r="K123"/>
  <c r="L123"/>
  <c r="M123"/>
  <c r="H42"/>
  <c r="AB42"/>
  <c r="D119"/>
  <c r="D117"/>
  <c r="E117"/>
  <c r="F117"/>
  <c r="G117"/>
  <c r="D115"/>
  <c r="E115"/>
  <c r="F115"/>
  <c r="G115"/>
  <c r="H115"/>
  <c r="I115"/>
  <c r="J115"/>
  <c r="K115"/>
  <c r="L115"/>
  <c r="M115"/>
  <c r="D113"/>
  <c r="E113"/>
  <c r="F113"/>
  <c r="G113"/>
  <c r="H113"/>
  <c r="D110"/>
  <c r="E110"/>
  <c r="F110"/>
  <c r="G110"/>
  <c r="H110"/>
  <c r="I110"/>
  <c r="J110"/>
  <c r="K110"/>
  <c r="L110"/>
  <c r="M110"/>
  <c r="J36"/>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D81"/>
  <c r="E81"/>
  <c r="F81"/>
  <c r="G81"/>
  <c r="D77"/>
  <c r="E77"/>
  <c r="B130"/>
  <c r="B128"/>
  <c r="B126"/>
  <c r="B98"/>
  <c r="B96"/>
  <c r="B94"/>
  <c r="B92"/>
  <c r="B90"/>
  <c r="B74"/>
  <c r="B72"/>
  <c r="B70"/>
  <c r="F12"/>
  <c r="F10"/>
  <c r="AA10"/>
  <c r="C7"/>
  <c r="C58" s="1"/>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3" i="11"/>
  <c r="E12"/>
  <c r="C9" i="12"/>
  <c r="BB12" i="3"/>
  <c r="F9" i="12"/>
  <c r="D9"/>
  <c r="E9"/>
  <c r="G9"/>
  <c r="K5" i="3"/>
  <c r="J5"/>
  <c r="BE10"/>
  <c r="BD13"/>
  <c r="BE13"/>
  <c r="BF13"/>
  <c r="BF5" s="1"/>
  <c r="BG13"/>
  <c r="BG5" s="1"/>
  <c r="BH13"/>
  <c r="BI13"/>
  <c r="BI5" s="1"/>
  <c r="BJ13"/>
  <c r="BK13"/>
  <c r="BM13"/>
  <c r="BN13"/>
  <c r="BO13"/>
  <c r="BP13"/>
  <c r="BS13"/>
  <c r="BT13"/>
  <c r="BT5" s="1"/>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G13" s="1"/>
  <c r="G5" s="1"/>
  <c r="B3" s="1"/>
  <c r="E47" s="1"/>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F34" i="21"/>
  <c r="AA34"/>
  <c r="H34"/>
  <c r="U34"/>
  <c r="F43"/>
  <c r="S43"/>
  <c r="H38"/>
  <c r="AB38"/>
  <c r="H43"/>
  <c r="AB43"/>
  <c r="F32"/>
  <c r="F38"/>
  <c r="S38"/>
  <c r="F36"/>
  <c r="S36"/>
  <c r="F39"/>
  <c r="AA39"/>
  <c r="J40"/>
  <c r="W40"/>
  <c r="H35"/>
  <c r="AB35"/>
  <c r="J8"/>
  <c r="AC8"/>
  <c r="J9"/>
  <c r="AC9"/>
  <c r="H8"/>
  <c r="H9"/>
  <c r="AB9"/>
  <c r="H10"/>
  <c r="U10"/>
  <c r="H39"/>
  <c r="AB39"/>
  <c r="J34"/>
  <c r="W34"/>
  <c r="H36"/>
  <c r="U36"/>
  <c r="F35"/>
  <c r="AA35"/>
  <c r="J33"/>
  <c r="W33"/>
  <c r="H33"/>
  <c r="U33"/>
  <c r="F33"/>
  <c r="J10"/>
  <c r="AC10"/>
  <c r="H26"/>
  <c r="F19"/>
  <c r="AA19"/>
  <c r="H19"/>
  <c r="AB19"/>
  <c r="J19"/>
  <c r="W19"/>
  <c r="J12"/>
  <c r="H12"/>
  <c r="U12"/>
  <c r="J26"/>
  <c r="W26"/>
  <c r="F26"/>
  <c r="AA26"/>
  <c r="AB41"/>
  <c r="S41"/>
  <c r="AA41"/>
  <c r="W41"/>
  <c r="S10" i="39"/>
  <c r="U30" i="37"/>
  <c r="E103"/>
  <c r="F103"/>
  <c r="F39"/>
  <c r="S39"/>
  <c r="W39"/>
  <c r="F29" i="36"/>
  <c r="AA29"/>
  <c r="F16"/>
  <c r="AA16"/>
  <c r="U22"/>
  <c r="W23"/>
  <c r="W22"/>
  <c r="U26"/>
  <c r="AC31"/>
  <c r="J33"/>
  <c r="W33"/>
  <c r="AC27" i="35"/>
  <c r="U31"/>
  <c r="S34"/>
  <c r="W36"/>
  <c r="W24"/>
  <c r="S31"/>
  <c r="W31"/>
  <c r="U34"/>
  <c r="F36" i="34"/>
  <c r="S36" s="1"/>
  <c r="W39"/>
  <c r="H39" i="33"/>
  <c r="AB39"/>
  <c r="F26"/>
  <c r="AA26"/>
  <c r="U9"/>
  <c r="U33"/>
  <c r="W38"/>
  <c r="S40"/>
  <c r="S33"/>
  <c r="W33"/>
  <c r="U38"/>
  <c r="S8" i="21"/>
  <c r="W8"/>
  <c r="H39" i="37"/>
  <c r="AB39"/>
  <c r="AB27" i="35"/>
  <c r="S10" i="40"/>
  <c r="W10"/>
  <c r="S11"/>
  <c r="U11"/>
  <c r="S36"/>
  <c r="U36"/>
  <c r="S40" i="39"/>
  <c r="S36"/>
  <c r="F11" i="21"/>
  <c r="S11"/>
  <c r="AC40"/>
  <c r="AA38"/>
  <c r="AB36"/>
  <c r="AC35"/>
  <c r="C29" i="39"/>
  <c r="C23"/>
  <c r="U36"/>
  <c r="S42"/>
  <c r="H32" i="33"/>
  <c r="AB32"/>
  <c r="H11" i="21"/>
  <c r="U11"/>
  <c r="J11"/>
  <c r="W11"/>
  <c r="F100" i="40"/>
  <c r="F86"/>
  <c r="AA12" i="33"/>
  <c r="U9" i="21"/>
  <c r="J27" i="36"/>
  <c r="W27"/>
  <c r="J34"/>
  <c r="W34"/>
  <c r="J30" i="35"/>
  <c r="W30"/>
  <c r="F22"/>
  <c r="AA22"/>
  <c r="H10"/>
  <c r="U10"/>
  <c r="AC24" i="36"/>
  <c r="U29"/>
  <c r="U24"/>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AB43" s="1"/>
  <c r="U42"/>
  <c r="E114"/>
  <c r="H36"/>
  <c r="AB36" s="1"/>
  <c r="F33"/>
  <c r="S33" s="1"/>
  <c r="F19"/>
  <c r="AA19" s="1"/>
  <c r="J10"/>
  <c r="AC10" s="1"/>
  <c r="U9"/>
  <c r="W8"/>
  <c r="J28"/>
  <c r="W28"/>
  <c r="S38" i="33"/>
  <c r="E113"/>
  <c r="F36"/>
  <c r="S36"/>
  <c r="F19"/>
  <c r="S19"/>
  <c r="J19"/>
  <c r="S10" i="21"/>
  <c r="W40" i="33"/>
  <c r="F125" i="21"/>
  <c r="G125"/>
  <c r="G86" i="40"/>
  <c r="AB30" i="36"/>
  <c r="AC34"/>
  <c r="S22" i="35"/>
  <c r="H29"/>
  <c r="U34" i="37"/>
  <c r="S34"/>
  <c r="AA34"/>
  <c r="AB42" i="34"/>
  <c r="AB40"/>
  <c r="J19"/>
  <c r="AC19" s="1"/>
  <c r="F113" i="33"/>
  <c r="G113"/>
  <c r="H113"/>
  <c r="I113"/>
  <c r="J113"/>
  <c r="K113"/>
  <c r="L113"/>
  <c r="M113"/>
  <c r="H37"/>
  <c r="AB37"/>
  <c r="S37"/>
  <c r="AC42" i="34"/>
  <c r="W42"/>
  <c r="AA42"/>
  <c r="S42"/>
  <c r="AC38"/>
  <c r="W38"/>
  <c r="AA38"/>
  <c r="J37" i="33"/>
  <c r="W37"/>
  <c r="J42" i="21"/>
  <c r="AC42"/>
  <c r="J44" i="34"/>
  <c r="AC44" s="1"/>
  <c r="F44"/>
  <c r="S44" s="1"/>
  <c r="J10" i="35"/>
  <c r="W10"/>
  <c r="AL5" i="3"/>
  <c r="BQ13"/>
  <c r="BL572"/>
  <c r="AZ572"/>
  <c r="J14" i="21"/>
  <c r="F14"/>
  <c r="AA14"/>
  <c r="H14"/>
  <c r="U14"/>
  <c r="H28"/>
  <c r="AB28"/>
  <c r="F28"/>
  <c r="J28"/>
  <c r="AC28"/>
  <c r="H30"/>
  <c r="U30"/>
  <c r="F30"/>
  <c r="S30"/>
  <c r="J30"/>
  <c r="J44"/>
  <c r="AC44"/>
  <c r="H44"/>
  <c r="U44"/>
  <c r="F44"/>
  <c r="AA44"/>
  <c r="H46"/>
  <c r="AB46"/>
  <c r="J46"/>
  <c r="W46"/>
  <c r="F46"/>
  <c r="AA46"/>
  <c r="H26" i="33"/>
  <c r="U26"/>
  <c r="H28"/>
  <c r="F28"/>
  <c r="AA28"/>
  <c r="J28"/>
  <c r="W28"/>
  <c r="F33" i="35"/>
  <c r="S33"/>
  <c r="J33"/>
  <c r="W33"/>
  <c r="F30"/>
  <c r="AA30"/>
  <c r="E89"/>
  <c r="F89"/>
  <c r="G89"/>
  <c r="H89"/>
  <c r="I89"/>
  <c r="J89"/>
  <c r="K89"/>
  <c r="L89"/>
  <c r="M89"/>
  <c r="H10" i="36"/>
  <c r="AB10"/>
  <c r="F28"/>
  <c r="S28"/>
  <c r="F27"/>
  <c r="S27"/>
  <c r="H13" i="21"/>
  <c r="U13"/>
  <c r="J13"/>
  <c r="AC13"/>
  <c r="F13"/>
  <c r="AA13"/>
  <c r="H27"/>
  <c r="AB27"/>
  <c r="J27"/>
  <c r="W27"/>
  <c r="F27"/>
  <c r="AA27"/>
  <c r="J29"/>
  <c r="AC29"/>
  <c r="H29"/>
  <c r="U29"/>
  <c r="F29"/>
  <c r="S29"/>
  <c r="J31"/>
  <c r="AC31"/>
  <c r="H31"/>
  <c r="U31"/>
  <c r="F31"/>
  <c r="S31"/>
  <c r="J45"/>
  <c r="W45"/>
  <c r="F45"/>
  <c r="AA45"/>
  <c r="H45"/>
  <c r="U45"/>
  <c r="J27" i="33"/>
  <c r="AC27"/>
  <c r="F27"/>
  <c r="S27"/>
  <c r="F13"/>
  <c r="S13"/>
  <c r="J29"/>
  <c r="W29"/>
  <c r="J31"/>
  <c r="AC31"/>
  <c r="H31"/>
  <c r="U31"/>
  <c r="S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H44"/>
  <c r="U44"/>
  <c r="J44"/>
  <c r="AC44"/>
  <c r="F44"/>
  <c r="S44"/>
  <c r="J46"/>
  <c r="AC46"/>
  <c r="F46"/>
  <c r="AA46"/>
  <c r="H46"/>
  <c r="AB46"/>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U30"/>
  <c r="AB40" i="37"/>
  <c r="J36"/>
  <c r="AC36"/>
  <c r="G105"/>
  <c r="AB28" i="36"/>
  <c r="AB31" i="21"/>
  <c r="AB13"/>
  <c r="S46"/>
  <c r="U46"/>
  <c r="AC30"/>
  <c r="W30"/>
  <c r="AB30"/>
  <c r="S28"/>
  <c r="AA28"/>
  <c r="AB14"/>
  <c r="W14"/>
  <c r="AC14"/>
  <c r="W42"/>
  <c r="S46" i="33"/>
  <c r="U36" i="37"/>
  <c r="AC13" i="36"/>
  <c r="AB45" i="33"/>
  <c r="AB31"/>
  <c r="AA27"/>
  <c r="AB27"/>
  <c r="S45" i="21"/>
  <c r="AC28" i="33"/>
  <c r="U28" i="21"/>
  <c r="AB44"/>
  <c r="S19"/>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c r="AZ20"/>
  <c r="BQ18"/>
  <c r="AZ501"/>
  <c r="S505" i="31"/>
  <c r="S503"/>
  <c r="S501"/>
  <c r="S499"/>
  <c r="O27"/>
  <c r="O28"/>
  <c r="O26"/>
  <c r="M27"/>
  <c r="M28"/>
  <c r="M26"/>
  <c r="I26"/>
  <c r="I25"/>
  <c r="S25"/>
  <c r="Q26"/>
  <c r="K26"/>
  <c r="I27"/>
  <c r="Q27"/>
  <c r="K27"/>
  <c r="I28"/>
  <c r="Q28"/>
  <c r="K28"/>
  <c r="AC28" i="34"/>
  <c r="AA12" i="21"/>
  <c r="S12"/>
  <c r="H25"/>
  <c r="U25"/>
  <c r="F25"/>
  <c r="S25"/>
  <c r="J25"/>
  <c r="AC25"/>
  <c r="E125" i="33"/>
  <c r="F125"/>
  <c r="G125"/>
  <c r="H43"/>
  <c r="U43"/>
  <c r="H17" i="37"/>
  <c r="U17"/>
  <c r="F23"/>
  <c r="S23"/>
  <c r="F79"/>
  <c r="AB27"/>
  <c r="F39" i="33"/>
  <c r="AA39"/>
  <c r="E123"/>
  <c r="F42"/>
  <c r="AA42"/>
  <c r="H28" i="34"/>
  <c r="AB28" s="1"/>
  <c r="F22" i="36"/>
  <c r="S22"/>
  <c r="H35" i="34"/>
  <c r="U35" s="1"/>
  <c r="F41"/>
  <c r="S41" s="1"/>
  <c r="H41"/>
  <c r="U41" s="1"/>
  <c r="J41"/>
  <c r="W41" s="1"/>
  <c r="F10" i="35"/>
  <c r="AA10"/>
  <c r="F24"/>
  <c r="AA24"/>
  <c r="H24"/>
  <c r="AB24"/>
  <c r="H23" i="37"/>
  <c r="AB23"/>
  <c r="J32"/>
  <c r="AC32"/>
  <c r="F36"/>
  <c r="S36"/>
  <c r="F37"/>
  <c r="AA37"/>
  <c r="U23"/>
  <c r="F123" i="33"/>
  <c r="G123"/>
  <c r="H123"/>
  <c r="I123"/>
  <c r="J123"/>
  <c r="K123"/>
  <c r="L123"/>
  <c r="M123"/>
  <c r="H42"/>
  <c r="U42"/>
  <c r="J43"/>
  <c r="AC43"/>
  <c r="G79" i="37"/>
  <c r="J23"/>
  <c r="W23"/>
  <c r="F17"/>
  <c r="AA17"/>
  <c r="AB43" i="33"/>
  <c r="D3" i="21"/>
  <c r="AC33" i="36"/>
  <c r="AC12" i="35"/>
  <c r="W23"/>
  <c r="AC23" i="37"/>
  <c r="S27"/>
  <c r="U39"/>
  <c r="AC8"/>
  <c r="S25"/>
  <c r="AB8" i="34"/>
  <c r="AC37" i="33"/>
  <c r="AA13"/>
  <c r="AC45"/>
  <c r="U19" i="21"/>
  <c r="AC33"/>
  <c r="AA36"/>
  <c r="S39" i="33"/>
  <c r="F43"/>
  <c r="AA43"/>
  <c r="AA23" i="37"/>
  <c r="S10" i="35"/>
  <c r="AB44" i="33"/>
  <c r="G107" i="37"/>
  <c r="H107"/>
  <c r="I107"/>
  <c r="J107"/>
  <c r="K107"/>
  <c r="L107"/>
  <c r="M107"/>
  <c r="AA9" i="21"/>
  <c r="F37"/>
  <c r="S37"/>
  <c r="J37"/>
  <c r="W37"/>
  <c r="H19" i="34"/>
  <c r="AB19" s="1"/>
  <c r="J10" i="37"/>
  <c r="W10"/>
  <c r="F36" i="35"/>
  <c r="S36"/>
  <c r="J9" i="37"/>
  <c r="W9"/>
  <c r="H9"/>
  <c r="U9"/>
  <c r="F9"/>
  <c r="S9"/>
  <c r="F11"/>
  <c r="S11"/>
  <c r="J12"/>
  <c r="AC12"/>
  <c r="H12"/>
  <c r="AB12"/>
  <c r="F12"/>
  <c r="AA12"/>
  <c r="H15"/>
  <c r="U15"/>
  <c r="E94"/>
  <c r="F31"/>
  <c r="S31"/>
  <c r="F94"/>
  <c r="G94"/>
  <c r="H94"/>
  <c r="I94"/>
  <c r="J94"/>
  <c r="K94"/>
  <c r="L94"/>
  <c r="M94"/>
  <c r="H31"/>
  <c r="AB31"/>
  <c r="J15"/>
  <c r="W15"/>
  <c r="U12"/>
  <c r="AB10"/>
  <c r="J11"/>
  <c r="W11"/>
  <c r="U31"/>
  <c r="E90" i="40"/>
  <c r="F21"/>
  <c r="S21"/>
  <c r="W36"/>
  <c r="U40" i="39"/>
  <c r="F90" i="40"/>
  <c r="J21"/>
  <c r="AC21"/>
  <c r="G90"/>
  <c r="S27" i="31"/>
  <c r="AZ558" i="3"/>
  <c r="AZ540"/>
  <c r="AZ560"/>
  <c r="G483"/>
  <c r="G515"/>
  <c r="G507"/>
  <c r="G501"/>
  <c r="BA15"/>
  <c r="BL17"/>
  <c r="BL15"/>
  <c r="BA14"/>
  <c r="AZ14"/>
  <c r="J57" i="39"/>
  <c r="H13" i="40"/>
  <c r="U13"/>
  <c r="H12" i="48"/>
  <c r="I4" i="4"/>
  <c r="K141" i="21"/>
  <c r="K143"/>
  <c r="K144"/>
  <c r="I59" i="40"/>
  <c r="C59" s="1"/>
  <c r="I60"/>
  <c r="C60"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F33"/>
  <c r="F37"/>
  <c r="H16" i="48"/>
  <c r="H9"/>
  <c r="H8"/>
  <c r="C12" i="46"/>
  <c r="AB16" i="35"/>
  <c r="AB15" i="37"/>
  <c r="AA43" i="21"/>
  <c r="U43"/>
  <c r="AA13" i="40"/>
  <c r="E78"/>
  <c r="F78"/>
  <c r="G78"/>
  <c r="H78"/>
  <c r="I78"/>
  <c r="J78"/>
  <c r="K78"/>
  <c r="L78"/>
  <c r="M78"/>
  <c r="BH5" i="3"/>
  <c r="R16" i="4"/>
  <c r="P16"/>
  <c r="D3" i="35"/>
  <c r="G4" i="4"/>
  <c r="J16" i="35"/>
  <c r="W16"/>
  <c r="U42" i="21"/>
  <c r="AC26" i="36"/>
  <c r="W25" i="35"/>
  <c r="AZ300" i="3"/>
  <c r="AZ354"/>
  <c r="AZ322"/>
  <c r="H13" i="39"/>
  <c r="AB13" s="1"/>
  <c r="F13"/>
  <c r="J13"/>
  <c r="AC13" s="1"/>
  <c r="AA36" i="35"/>
  <c r="H11" i="37"/>
  <c r="AB1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J40"/>
  <c r="W40" s="1"/>
  <c r="F16" i="35"/>
  <c r="AA16"/>
  <c r="S24" i="36"/>
  <c r="W42" i="33"/>
  <c r="J35" i="34"/>
  <c r="W35" s="1"/>
  <c r="F107"/>
  <c r="G107"/>
  <c r="H107"/>
  <c r="I107"/>
  <c r="J107"/>
  <c r="K107"/>
  <c r="L107"/>
  <c r="M107"/>
  <c r="S30" i="36"/>
  <c r="H16"/>
  <c r="AB16"/>
  <c r="G103" i="37"/>
  <c r="H103"/>
  <c r="I103"/>
  <c r="J103"/>
  <c r="K103"/>
  <c r="L103"/>
  <c r="M103"/>
  <c r="H35"/>
  <c r="AB35"/>
  <c r="S26" i="21"/>
  <c r="AB12"/>
  <c r="H32"/>
  <c r="U32"/>
  <c r="AB26"/>
  <c r="U26"/>
  <c r="AA33"/>
  <c r="S33"/>
  <c r="U39"/>
  <c r="W9"/>
  <c r="J32"/>
  <c r="AC32"/>
  <c r="AC5" i="3"/>
  <c r="F17" i="21"/>
  <c r="S17"/>
  <c r="H17"/>
  <c r="AB17"/>
  <c r="J17"/>
  <c r="AC17"/>
  <c r="H37"/>
  <c r="U37"/>
  <c r="F40"/>
  <c r="S40"/>
  <c r="H40"/>
  <c r="AB40"/>
  <c r="E119"/>
  <c r="F119"/>
  <c r="G119"/>
  <c r="H119"/>
  <c r="I119"/>
  <c r="J119"/>
  <c r="K119"/>
  <c r="L119"/>
  <c r="M119"/>
  <c r="AA8" i="33"/>
  <c r="S8"/>
  <c r="AC8"/>
  <c r="H66"/>
  <c r="F10"/>
  <c r="AA10"/>
  <c r="F11"/>
  <c r="S11"/>
  <c r="J15"/>
  <c r="W15"/>
  <c r="H19"/>
  <c r="AB19"/>
  <c r="F32"/>
  <c r="AA32"/>
  <c r="J32"/>
  <c r="AC32"/>
  <c r="F35"/>
  <c r="AA35"/>
  <c r="E80" i="34"/>
  <c r="F80" s="1"/>
  <c r="G80" s="1"/>
  <c r="H17"/>
  <c r="AB17" s="1"/>
  <c r="AC27"/>
  <c r="W27"/>
  <c r="S12" i="35"/>
  <c r="AB28"/>
  <c r="U28"/>
  <c r="J13" i="33"/>
  <c r="W13"/>
  <c r="H13"/>
  <c r="U13"/>
  <c r="H29"/>
  <c r="AB29"/>
  <c r="F29"/>
  <c r="AA29"/>
  <c r="J12" i="34"/>
  <c r="AC12" s="1"/>
  <c r="H12"/>
  <c r="AB12" s="1"/>
  <c r="F12"/>
  <c r="S12" s="1"/>
  <c r="J14"/>
  <c r="W14" s="1"/>
  <c r="F14"/>
  <c r="S14" s="1"/>
  <c r="H14"/>
  <c r="AB14" s="1"/>
  <c r="H30"/>
  <c r="AB30" s="1"/>
  <c r="F30"/>
  <c r="S30" s="1"/>
  <c r="J30"/>
  <c r="W30" s="1"/>
  <c r="H32"/>
  <c r="AB32" s="1"/>
  <c r="F32"/>
  <c r="AA32" s="1"/>
  <c r="J32"/>
  <c r="W32" s="1"/>
  <c r="H46"/>
  <c r="AB46"/>
  <c r="F46"/>
  <c r="AA46"/>
  <c r="J46"/>
  <c r="AC46"/>
  <c r="H11" i="35"/>
  <c r="J11"/>
  <c r="AC11"/>
  <c r="F96" i="37"/>
  <c r="H32"/>
  <c r="AB32"/>
  <c r="F19" i="39"/>
  <c r="S19" s="1"/>
  <c r="H19"/>
  <c r="U19" s="1"/>
  <c r="J19"/>
  <c r="W19"/>
  <c r="F43"/>
  <c r="H43"/>
  <c r="U43"/>
  <c r="J43"/>
  <c r="F99" i="37"/>
  <c r="AC27"/>
  <c r="U25" i="35"/>
  <c r="S45" i="34"/>
  <c r="U31"/>
  <c r="AC40" i="37"/>
  <c r="W40"/>
  <c r="W27" i="33"/>
  <c r="AC45" i="21"/>
  <c r="S28" i="33"/>
  <c r="S14" i="21"/>
  <c r="AB29" i="35"/>
  <c r="U29"/>
  <c r="AC19" i="33"/>
  <c r="W19"/>
  <c r="AC34" i="37"/>
  <c r="S35"/>
  <c r="AA35"/>
  <c r="AB10" i="35"/>
  <c r="AA32" i="21"/>
  <c r="S32"/>
  <c r="U38"/>
  <c r="AB34"/>
  <c r="BL571" i="3"/>
  <c r="BA571"/>
  <c r="AZ571"/>
  <c r="BL570"/>
  <c r="AZ570"/>
  <c r="BE5"/>
  <c r="F42" i="21"/>
  <c r="AA42"/>
  <c r="AB40" i="33"/>
  <c r="U40"/>
  <c r="E90" i="34"/>
  <c r="H27"/>
  <c r="AB27" s="1"/>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17" i="39"/>
  <c r="AA17" s="1"/>
  <c r="H17"/>
  <c r="U17" s="1"/>
  <c r="J17"/>
  <c r="W17" s="1"/>
  <c r="F21"/>
  <c r="S21" s="1"/>
  <c r="H21"/>
  <c r="U21" s="1"/>
  <c r="J21"/>
  <c r="W21" s="1"/>
  <c r="F33"/>
  <c r="AA33" s="1"/>
  <c r="H33"/>
  <c r="U33" s="1"/>
  <c r="J33"/>
  <c r="W33" s="1"/>
  <c r="F44"/>
  <c r="S44"/>
  <c r="H44"/>
  <c r="U44"/>
  <c r="J44"/>
  <c r="W44"/>
  <c r="E128"/>
  <c r="F128"/>
  <c r="G128"/>
  <c r="H128"/>
  <c r="I128"/>
  <c r="J128"/>
  <c r="K128"/>
  <c r="L128"/>
  <c r="M128"/>
  <c r="F46"/>
  <c r="S46"/>
  <c r="H46"/>
  <c r="U46"/>
  <c r="J46"/>
  <c r="W46"/>
  <c r="F29"/>
  <c r="AA29" s="1"/>
  <c r="E103"/>
  <c r="F103"/>
  <c r="G103"/>
  <c r="H29"/>
  <c r="U29"/>
  <c r="F34"/>
  <c r="AA34"/>
  <c r="H34"/>
  <c r="AB34"/>
  <c r="J34"/>
  <c r="AC34"/>
  <c r="F39"/>
  <c r="H39"/>
  <c r="AB39"/>
  <c r="J39"/>
  <c r="J29" i="35"/>
  <c r="AC29"/>
  <c r="F29"/>
  <c r="S29"/>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c r="BA18"/>
  <c r="F36" i="44"/>
  <c r="F114" i="34"/>
  <c r="G114" s="1"/>
  <c r="H114" s="1"/>
  <c r="I114" s="1"/>
  <c r="J114" s="1"/>
  <c r="K114" s="1"/>
  <c r="L114" s="1"/>
  <c r="M114" s="1"/>
  <c r="H38"/>
  <c r="U38" s="1"/>
  <c r="H30" i="40"/>
  <c r="AB30"/>
  <c r="G100"/>
  <c r="J30"/>
  <c r="AC30"/>
  <c r="F38"/>
  <c r="AA38"/>
  <c r="AC12" i="21"/>
  <c r="W12"/>
  <c r="AB33"/>
  <c r="S35"/>
  <c r="AB10"/>
  <c r="U8"/>
  <c r="AB8"/>
  <c r="S34"/>
  <c r="AC36"/>
  <c r="AB8" i="33"/>
  <c r="U8"/>
  <c r="E106"/>
  <c r="H34"/>
  <c r="U34"/>
  <c r="F34"/>
  <c r="S34"/>
  <c r="E121"/>
  <c r="F41"/>
  <c r="S41"/>
  <c r="AC34" i="34"/>
  <c r="W34"/>
  <c r="E78"/>
  <c r="F15"/>
  <c r="S15" s="1"/>
  <c r="AC28" i="35"/>
  <c r="W28"/>
  <c r="J20"/>
  <c r="AC20"/>
  <c r="E72"/>
  <c r="F72"/>
  <c r="G72"/>
  <c r="H22"/>
  <c r="AB22"/>
  <c r="H23"/>
  <c r="F23"/>
  <c r="AA23"/>
  <c r="AB36"/>
  <c r="U36"/>
  <c r="W12" i="36"/>
  <c r="AC12"/>
  <c r="U31"/>
  <c r="S8" i="37"/>
  <c r="AA8"/>
  <c r="F14" i="39"/>
  <c r="AA14" s="1"/>
  <c r="H14"/>
  <c r="AB14" s="1"/>
  <c r="J14"/>
  <c r="AC14" s="1"/>
  <c r="F16"/>
  <c r="AA16" s="1"/>
  <c r="H16"/>
  <c r="U16" s="1"/>
  <c r="J16"/>
  <c r="AC16" s="1"/>
  <c r="F23"/>
  <c r="AA23" s="1"/>
  <c r="E97"/>
  <c r="F27"/>
  <c r="AA27" s="1"/>
  <c r="H27"/>
  <c r="AB27" s="1"/>
  <c r="J27"/>
  <c r="AC27" s="1"/>
  <c r="F15" i="40"/>
  <c r="AA15"/>
  <c r="J15"/>
  <c r="H15"/>
  <c r="AB15"/>
  <c r="E92"/>
  <c r="F92"/>
  <c r="H23"/>
  <c r="U23"/>
  <c r="H41"/>
  <c r="AB41"/>
  <c r="F41"/>
  <c r="AA41"/>
  <c r="J41"/>
  <c r="H36" i="33"/>
  <c r="AB36"/>
  <c r="F15" i="39"/>
  <c r="AA15"/>
  <c r="H15"/>
  <c r="U15"/>
  <c r="J15"/>
  <c r="AC15"/>
  <c r="H25"/>
  <c r="U25" s="1"/>
  <c r="J25"/>
  <c r="AC25" s="1"/>
  <c r="F25"/>
  <c r="AA25" s="1"/>
  <c r="F45"/>
  <c r="AA45"/>
  <c r="H45"/>
  <c r="U45"/>
  <c r="J45"/>
  <c r="AC45"/>
  <c r="F47"/>
  <c r="AA47"/>
  <c r="H47"/>
  <c r="AB47"/>
  <c r="J47"/>
  <c r="W47"/>
  <c r="F41"/>
  <c r="AA41"/>
  <c r="H41"/>
  <c r="AB41"/>
  <c r="J41"/>
  <c r="AC41"/>
  <c r="E94" i="40"/>
  <c r="J25"/>
  <c r="AC25"/>
  <c r="J32"/>
  <c r="AC32"/>
  <c r="H32"/>
  <c r="U32"/>
  <c r="H33"/>
  <c r="AB33"/>
  <c r="F33"/>
  <c r="AA33"/>
  <c r="J33"/>
  <c r="AC33"/>
  <c r="H35"/>
  <c r="AB35"/>
  <c r="F35"/>
  <c r="AA35"/>
  <c r="J35"/>
  <c r="AC35"/>
  <c r="J38" i="39"/>
  <c r="W38"/>
  <c r="H38"/>
  <c r="U38" s="1"/>
  <c r="J16" i="40"/>
  <c r="W16"/>
  <c r="J14"/>
  <c r="W14"/>
  <c r="H42"/>
  <c r="H40"/>
  <c r="U40"/>
  <c r="H34"/>
  <c r="U34"/>
  <c r="AZ391" i="3"/>
  <c r="AZ399"/>
  <c r="AZ403"/>
  <c r="AZ407"/>
  <c r="AZ415"/>
  <c r="AZ423"/>
  <c r="AZ431"/>
  <c r="AZ439"/>
  <c r="AZ454"/>
  <c r="J42" i="40"/>
  <c r="AC42"/>
  <c r="J40"/>
  <c r="AC40"/>
  <c r="J34"/>
  <c r="AC34"/>
  <c r="H16"/>
  <c r="AB16"/>
  <c r="H14"/>
  <c r="U14"/>
  <c r="F32"/>
  <c r="AA32"/>
  <c r="AZ401" i="3"/>
  <c r="AZ428"/>
  <c r="AZ433"/>
  <c r="AZ436"/>
  <c r="AZ441"/>
  <c r="AZ444"/>
  <c r="AZ449"/>
  <c r="AZ452"/>
  <c r="M1" i="46"/>
  <c r="M6"/>
  <c r="M10"/>
  <c r="N2"/>
  <c r="N5"/>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F58" s="1"/>
  <c r="N10"/>
  <c r="F69" s="1"/>
  <c r="H71" s="1"/>
  <c r="AZ164" i="3"/>
  <c r="AZ167"/>
  <c r="AZ177"/>
  <c r="AZ180"/>
  <c r="AZ24"/>
  <c r="AZ32"/>
  <c r="AZ40"/>
  <c r="AZ48"/>
  <c r="AZ56"/>
  <c r="AZ63"/>
  <c r="AZ71"/>
  <c r="AZ79"/>
  <c r="AZ91"/>
  <c r="AZ99"/>
  <c r="AZ107"/>
  <c r="AZ112"/>
  <c r="J13" i="40"/>
  <c r="W13"/>
  <c r="AB14"/>
  <c r="W40"/>
  <c r="AC14"/>
  <c r="W35"/>
  <c r="S33"/>
  <c r="AB32"/>
  <c r="AC47" i="39"/>
  <c r="S47"/>
  <c r="AB25"/>
  <c r="AC41" i="40"/>
  <c r="W41"/>
  <c r="U41"/>
  <c r="J23"/>
  <c r="AC23"/>
  <c r="G92"/>
  <c r="F23"/>
  <c r="S23"/>
  <c r="AC15"/>
  <c r="W15"/>
  <c r="AB16" i="39"/>
  <c r="U23" i="35"/>
  <c r="AB23"/>
  <c r="H20"/>
  <c r="F20"/>
  <c r="S20"/>
  <c r="H15" i="34"/>
  <c r="AB15" s="1"/>
  <c r="F78"/>
  <c r="G78"/>
  <c r="J15"/>
  <c r="AC15" s="1"/>
  <c r="H41" i="33"/>
  <c r="U41"/>
  <c r="F121"/>
  <c r="G121"/>
  <c r="H121"/>
  <c r="I121"/>
  <c r="J121"/>
  <c r="K121"/>
  <c r="L121"/>
  <c r="M121"/>
  <c r="F30" i="40"/>
  <c r="AA30"/>
  <c r="H100"/>
  <c r="I100"/>
  <c r="J100"/>
  <c r="K100"/>
  <c r="L100"/>
  <c r="M100"/>
  <c r="AZ486" i="3"/>
  <c r="AZ497"/>
  <c r="AZ504"/>
  <c r="AZ515"/>
  <c r="AZ529"/>
  <c r="AZ530"/>
  <c r="AZ537"/>
  <c r="AZ547"/>
  <c r="AZ548"/>
  <c r="AZ549"/>
  <c r="AB37" i="39"/>
  <c r="AA29" i="35"/>
  <c r="U39" i="39"/>
  <c r="J29"/>
  <c r="AC29" s="1"/>
  <c r="AB33" i="36"/>
  <c r="AA11"/>
  <c r="AA14" i="35"/>
  <c r="S14"/>
  <c r="G99" i="37"/>
  <c r="F33"/>
  <c r="AB19" i="39"/>
  <c r="U46" i="34"/>
  <c r="AA14"/>
  <c r="W12"/>
  <c r="U29" i="33"/>
  <c r="AC13"/>
  <c r="W32"/>
  <c r="H15"/>
  <c r="U15"/>
  <c r="AA11"/>
  <c r="AA40" i="21"/>
  <c r="U17"/>
  <c r="S13" i="39"/>
  <c r="AA13"/>
  <c r="U16" i="40"/>
  <c r="W34"/>
  <c r="AB34"/>
  <c r="AB42"/>
  <c r="U42"/>
  <c r="AC16"/>
  <c r="W32"/>
  <c r="H25"/>
  <c r="AB25"/>
  <c r="F94"/>
  <c r="G94"/>
  <c r="U47" i="39"/>
  <c r="W15"/>
  <c r="J36" i="33"/>
  <c r="W36"/>
  <c r="S41" i="40"/>
  <c r="AB23"/>
  <c r="H23" i="39"/>
  <c r="AB23"/>
  <c r="J23"/>
  <c r="AC23" s="1"/>
  <c r="F97"/>
  <c r="G97"/>
  <c r="S16"/>
  <c r="AA15" i="34"/>
  <c r="AA41" i="33"/>
  <c r="AA34"/>
  <c r="F106"/>
  <c r="G106"/>
  <c r="H106"/>
  <c r="I106"/>
  <c r="J106"/>
  <c r="K106"/>
  <c r="L106"/>
  <c r="M106"/>
  <c r="J34"/>
  <c r="AC34"/>
  <c r="U30" i="40"/>
  <c r="AA37" i="39"/>
  <c r="W29" i="35"/>
  <c r="AC39" i="39"/>
  <c r="W39"/>
  <c r="AA39"/>
  <c r="S39"/>
  <c r="U34"/>
  <c r="AB29"/>
  <c r="AB46"/>
  <c r="AB44"/>
  <c r="S17"/>
  <c r="U11" i="36"/>
  <c r="F80" i="35"/>
  <c r="G80"/>
  <c r="H80"/>
  <c r="I80"/>
  <c r="J80"/>
  <c r="K80"/>
  <c r="L80"/>
  <c r="M80"/>
  <c r="W14"/>
  <c r="F90" i="34"/>
  <c r="G90"/>
  <c r="H90" s="1"/>
  <c r="I90" s="1"/>
  <c r="J90" s="1"/>
  <c r="K90" s="1"/>
  <c r="L90" s="1"/>
  <c r="M90" s="1"/>
  <c r="F27"/>
  <c r="S27"/>
  <c r="AC43" i="39"/>
  <c r="W43"/>
  <c r="AA43"/>
  <c r="S43"/>
  <c r="AA19"/>
  <c r="G96" i="37"/>
  <c r="H96"/>
  <c r="I96"/>
  <c r="J96"/>
  <c r="K96"/>
  <c r="L96"/>
  <c r="M96"/>
  <c r="F32"/>
  <c r="S32"/>
  <c r="U11" i="35"/>
  <c r="AB11"/>
  <c r="S46" i="34"/>
  <c r="U32"/>
  <c r="U14"/>
  <c r="AC14"/>
  <c r="U12"/>
  <c r="AB13" i="33"/>
  <c r="F17" i="34"/>
  <c r="AA17" s="1"/>
  <c r="J17"/>
  <c r="AC17" s="1"/>
  <c r="J35" i="33"/>
  <c r="W35"/>
  <c r="S32"/>
  <c r="AC15"/>
  <c r="H11"/>
  <c r="U11"/>
  <c r="H10"/>
  <c r="U10"/>
  <c r="I66"/>
  <c r="J10"/>
  <c r="AC10"/>
  <c r="U40" i="21"/>
  <c r="U11" i="37"/>
  <c r="U13" i="39"/>
  <c r="AC16" i="35"/>
  <c r="AC13" i="40"/>
  <c r="AC36" i="33"/>
  <c r="F25" i="40"/>
  <c r="AA25"/>
  <c r="J11" i="33"/>
  <c r="W11"/>
  <c r="H33" i="37"/>
  <c r="AB33"/>
  <c r="U20" i="35"/>
  <c r="AB20"/>
  <c r="W23" i="40"/>
  <c r="D73" i="9"/>
  <c r="N73" s="1"/>
  <c r="AP11" i="1"/>
  <c r="B11"/>
  <c r="E11"/>
  <c r="K11"/>
  <c r="M11" s="1"/>
  <c r="B9"/>
  <c r="E9"/>
  <c r="K9"/>
  <c r="M9" s="1"/>
  <c r="B7"/>
  <c r="E7" s="1"/>
  <c r="C20" i="43"/>
  <c r="F6" i="1"/>
  <c r="AP6" s="1"/>
  <c r="G11"/>
  <c r="M22" i="44"/>
  <c r="AC25" i="36"/>
  <c r="S23"/>
  <c r="S8"/>
  <c r="AA26"/>
  <c r="AA28"/>
  <c r="U25"/>
  <c r="H20"/>
  <c r="U20"/>
  <c r="F68"/>
  <c r="G68"/>
  <c r="J20"/>
  <c r="AC20"/>
  <c r="F20"/>
  <c r="S20"/>
  <c r="F62"/>
  <c r="G62"/>
  <c r="J14"/>
  <c r="H14"/>
  <c r="F14"/>
  <c r="AA14"/>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U30"/>
  <c r="S32"/>
  <c r="AA12"/>
  <c r="AA30"/>
  <c r="AC32"/>
  <c r="U44"/>
  <c r="U34"/>
  <c r="U28"/>
  <c r="AA27"/>
  <c r="J25"/>
  <c r="W25" s="1"/>
  <c r="H25"/>
  <c r="AB25" s="1"/>
  <c r="F25"/>
  <c r="AA25" s="1"/>
  <c r="J23"/>
  <c r="AC23" s="1"/>
  <c r="W10"/>
  <c r="U10"/>
  <c r="W44"/>
  <c r="W29"/>
  <c r="AC21"/>
  <c r="W21"/>
  <c r="AB21"/>
  <c r="U21"/>
  <c r="S13"/>
  <c r="U39" i="33"/>
  <c r="U37"/>
  <c r="S35"/>
  <c r="W34"/>
  <c r="AC12"/>
  <c r="AB11"/>
  <c r="AB41"/>
  <c r="U36"/>
  <c r="AC35"/>
  <c r="S29"/>
  <c r="W31"/>
  <c r="W43"/>
  <c r="U46"/>
  <c r="W39"/>
  <c r="U35"/>
  <c r="AB34"/>
  <c r="W26"/>
  <c r="AB26"/>
  <c r="H25"/>
  <c r="AB25"/>
  <c r="J25"/>
  <c r="W25"/>
  <c r="F87"/>
  <c r="G87"/>
  <c r="H87"/>
  <c r="I87"/>
  <c r="J87"/>
  <c r="K87"/>
  <c r="L87"/>
  <c r="M87"/>
  <c r="F25"/>
  <c r="F85"/>
  <c r="G85"/>
  <c r="J23"/>
  <c r="F23"/>
  <c r="H23"/>
  <c r="U19"/>
  <c r="F79"/>
  <c r="G79"/>
  <c r="F17"/>
  <c r="H17"/>
  <c r="J17"/>
  <c r="AB15"/>
  <c r="AC11"/>
  <c r="S10"/>
  <c r="S14"/>
  <c r="W10"/>
  <c r="AC21"/>
  <c r="W21"/>
  <c r="W14"/>
  <c r="AB10"/>
  <c r="U25"/>
  <c r="AB21"/>
  <c r="U21"/>
  <c r="AA21"/>
  <c r="S21"/>
  <c r="AA44"/>
  <c r="AA36"/>
  <c r="S44" i="21"/>
  <c r="W39"/>
  <c r="AC34"/>
  <c r="W32"/>
  <c r="U35"/>
  <c r="W43"/>
  <c r="AA37"/>
  <c r="S42"/>
  <c r="AB37"/>
  <c r="AB32"/>
  <c r="W28"/>
  <c r="AC46"/>
  <c r="AC26"/>
  <c r="F85"/>
  <c r="G85"/>
  <c r="J23"/>
  <c r="W23"/>
  <c r="F23"/>
  <c r="H23"/>
  <c r="AA17"/>
  <c r="W17"/>
  <c r="F15"/>
  <c r="S15"/>
  <c r="F77"/>
  <c r="G77"/>
  <c r="J15"/>
  <c r="H15"/>
  <c r="AC11"/>
  <c r="AB11"/>
  <c r="W13"/>
  <c r="AA11"/>
  <c r="AC23"/>
  <c r="AC21"/>
  <c r="W21"/>
  <c r="W44"/>
  <c r="AC19"/>
  <c r="W10"/>
  <c r="AC38"/>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AC44" i="39"/>
  <c r="W13"/>
  <c r="S11"/>
  <c r="AB45"/>
  <c r="AA21"/>
  <c r="AC19"/>
  <c r="AC38"/>
  <c r="S29"/>
  <c r="AB15"/>
  <c r="U11"/>
  <c r="U41"/>
  <c r="U23"/>
  <c r="AB38"/>
  <c r="U31"/>
  <c r="AB31"/>
  <c r="S38"/>
  <c r="S22" i="31"/>
  <c r="D18" i="9"/>
  <c r="M44" s="1"/>
  <c r="M43"/>
  <c r="M20" i="15"/>
  <c r="A18" i="64"/>
  <c r="B74" i="63"/>
  <c r="C53" i="10"/>
  <c r="A25" i="64" s="1"/>
  <c r="A18" i="51"/>
  <c r="B14" i="63"/>
  <c r="BA16" i="3"/>
  <c r="BA17"/>
  <c r="AZ17"/>
  <c r="F3" i="35"/>
  <c r="K1" i="43"/>
  <c r="K1" i="12"/>
  <c r="G1" i="44"/>
  <c r="I4" i="6"/>
  <c r="G3" i="46" s="1"/>
  <c r="C11" i="34" s="1"/>
  <c r="J11" s="1"/>
  <c r="W11" s="1"/>
  <c r="AZ15" i="3"/>
  <c r="BK5"/>
  <c r="BO5"/>
  <c r="BP5"/>
  <c r="BN5"/>
  <c r="BL18"/>
  <c r="AZ18"/>
  <c r="BC5"/>
  <c r="E8" i="6"/>
  <c r="BD5" i="3"/>
  <c r="BR5"/>
  <c r="G28" i="6" s="1"/>
  <c r="BS5" i="3"/>
  <c r="BQ5"/>
  <c r="BL16"/>
  <c r="BM5"/>
  <c r="BA13"/>
  <c r="H53" i="46"/>
  <c r="G28" i="12"/>
  <c r="G22" i="43"/>
  <c r="G26" i="12"/>
  <c r="D24" i="44"/>
  <c r="D26"/>
  <c r="G27" i="12"/>
  <c r="G23" i="43"/>
  <c r="G21"/>
  <c r="N8" i="46"/>
  <c r="N4"/>
  <c r="N1"/>
  <c r="M9"/>
  <c r="M2"/>
  <c r="N11"/>
  <c r="N9"/>
  <c r="M4"/>
  <c r="M12"/>
  <c r="M8"/>
  <c r="M3"/>
  <c r="M5"/>
  <c r="C6"/>
  <c r="H6" i="48"/>
  <c r="H15"/>
  <c r="H5"/>
  <c r="H14"/>
  <c r="F38" i="46"/>
  <c r="F36"/>
  <c r="F34"/>
  <c r="K17"/>
  <c r="C17"/>
  <c r="F39"/>
  <c r="H13" i="48"/>
  <c r="H11"/>
  <c r="J17" i="46"/>
  <c r="D17"/>
  <c r="D71"/>
  <c r="D84"/>
  <c r="E80" s="1"/>
  <c r="B78" s="1"/>
  <c r="D69"/>
  <c r="E69" s="1"/>
  <c r="B67" s="1"/>
  <c r="E47"/>
  <c r="B45" s="1"/>
  <c r="A4" i="64"/>
  <c r="A4" i="51"/>
  <c r="C51" i="10"/>
  <c r="I100" i="46"/>
  <c r="N100"/>
  <c r="H100"/>
  <c r="F108"/>
  <c r="H80"/>
  <c r="E100"/>
  <c r="G100"/>
  <c r="H84"/>
  <c r="C100"/>
  <c r="J100"/>
  <c r="M100"/>
  <c r="AA12" i="36"/>
  <c r="U12" i="35"/>
  <c r="AB12"/>
  <c r="W11"/>
  <c r="AA11"/>
  <c r="S14" i="37"/>
  <c r="U13"/>
  <c r="S13" i="21"/>
  <c r="C24" i="9"/>
  <c r="C25"/>
  <c r="G9" i="1"/>
  <c r="G8"/>
  <c r="I20" i="46"/>
  <c r="B6" i="63"/>
  <c r="L5" i="54"/>
  <c r="B39" i="63"/>
  <c r="K5" i="54"/>
  <c r="B38" i="63"/>
  <c r="T41" i="4"/>
  <c r="A17" i="64"/>
  <c r="B46" i="50"/>
  <c r="B4" i="63" s="1"/>
  <c r="C46" i="36"/>
  <c r="C48" i="35"/>
  <c r="D48" s="1"/>
  <c r="C52" i="37"/>
  <c r="D52" s="1"/>
  <c r="D65" i="40"/>
  <c r="E65" s="1"/>
  <c r="E67" s="1"/>
  <c r="C72" i="39"/>
  <c r="O19" i="46"/>
  <c r="H86"/>
  <c r="H82"/>
  <c r="H10" i="48"/>
  <c r="H87" i="46"/>
  <c r="H85"/>
  <c r="H83"/>
  <c r="K10" i="1"/>
  <c r="M10" s="1"/>
  <c r="O10" s="1"/>
  <c r="P10" s="1"/>
  <c r="S11"/>
  <c r="R11"/>
  <c r="S13"/>
  <c r="R13"/>
  <c r="B6"/>
  <c r="E6"/>
  <c r="B10"/>
  <c r="E10"/>
  <c r="S10"/>
  <c r="B8"/>
  <c r="E8"/>
  <c r="B12"/>
  <c r="E12"/>
  <c r="S12"/>
  <c r="K6"/>
  <c r="M6" s="1"/>
  <c r="O6" s="1"/>
  <c r="P6"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W31" s="1"/>
  <c r="S45"/>
  <c r="W41"/>
  <c r="AB43"/>
  <c r="AC46"/>
  <c r="S34"/>
  <c r="W42"/>
  <c r="W36"/>
  <c r="AC37"/>
  <c r="U14"/>
  <c r="S15"/>
  <c r="W45"/>
  <c r="S41"/>
  <c r="AA44"/>
  <c r="AA46"/>
  <c r="W34"/>
  <c r="W10"/>
  <c r="W11"/>
  <c r="U42"/>
  <c r="W40"/>
  <c r="S32" i="40"/>
  <c r="C27" i="39"/>
  <c r="C17" i="40"/>
  <c r="C19"/>
  <c r="C17" i="39"/>
  <c r="C19"/>
  <c r="C21"/>
  <c r="C23" i="40"/>
  <c r="B48" i="46"/>
  <c r="B51"/>
  <c r="B55"/>
  <c r="B59"/>
  <c r="B62"/>
  <c r="B66"/>
  <c r="B53"/>
  <c r="B64"/>
  <c r="D24" i="15"/>
  <c r="F29" i="6"/>
  <c r="F28"/>
  <c r="F30" s="1"/>
  <c r="S14" i="36"/>
  <c r="AB20"/>
  <c r="AA20"/>
  <c r="AC14"/>
  <c r="W14"/>
  <c r="U14"/>
  <c r="AB14"/>
  <c r="U18"/>
  <c r="AB18"/>
  <c r="AA26" i="35"/>
  <c r="S26"/>
  <c r="U26"/>
  <c r="AB26"/>
  <c r="W26"/>
  <c r="AC26"/>
  <c r="S19" i="37"/>
  <c r="W19"/>
  <c r="AB19"/>
  <c r="U19"/>
  <c r="AC17"/>
  <c r="W17"/>
  <c r="AA25" i="33"/>
  <c r="S25"/>
  <c r="U23"/>
  <c r="AB23"/>
  <c r="W23"/>
  <c r="AC23"/>
  <c r="S23"/>
  <c r="AA23"/>
  <c r="W17"/>
  <c r="AC17"/>
  <c r="AA17"/>
  <c r="S17"/>
  <c r="U17"/>
  <c r="AB17"/>
  <c r="U23" i="21"/>
  <c r="AB23"/>
  <c r="AA23"/>
  <c r="S23"/>
  <c r="U15"/>
  <c r="AB15"/>
  <c r="W15"/>
  <c r="AC15"/>
  <c r="AB39" i="40"/>
  <c r="U39"/>
  <c r="AC39"/>
  <c r="W39"/>
  <c r="AA39"/>
  <c r="S39"/>
  <c r="U37"/>
  <c r="AB37"/>
  <c r="AA37"/>
  <c r="S37"/>
  <c r="U29"/>
  <c r="AB29"/>
  <c r="AC29"/>
  <c r="W29"/>
  <c r="AA29"/>
  <c r="S29"/>
  <c r="W19"/>
  <c r="AC19"/>
  <c r="AA19"/>
  <c r="S19"/>
  <c r="AB19"/>
  <c r="U19"/>
  <c r="AC27"/>
  <c r="W27"/>
  <c r="B20" i="31"/>
  <c r="R22"/>
  <c r="B21"/>
  <c r="A17" i="51"/>
  <c r="B13" i="63"/>
  <c r="E58" i="39"/>
  <c r="E53" i="40"/>
  <c r="F27" i="6"/>
  <c r="E5"/>
  <c r="E70" i="3"/>
  <c r="E109"/>
  <c r="E63"/>
  <c r="E38"/>
  <c r="E185"/>
  <c r="E174"/>
  <c r="E151"/>
  <c r="E148"/>
  <c r="E129"/>
  <c r="E313"/>
  <c r="E27"/>
  <c r="E98"/>
  <c r="E53"/>
  <c r="E412"/>
  <c r="E422"/>
  <c r="E405"/>
  <c r="E469"/>
  <c r="E398"/>
  <c r="W6"/>
  <c r="E247"/>
  <c r="E293"/>
  <c r="E363"/>
  <c r="E136"/>
  <c r="E190"/>
  <c r="E113"/>
  <c r="E568"/>
  <c r="E560"/>
  <c r="E79"/>
  <c r="E85"/>
  <c r="E420"/>
  <c r="E425"/>
  <c r="E539"/>
  <c r="E111"/>
  <c r="E401"/>
  <c r="E332"/>
  <c r="E233"/>
  <c r="E257"/>
  <c r="E245"/>
  <c r="E261"/>
  <c r="E272"/>
  <c r="AT6"/>
  <c r="E139"/>
  <c r="E203"/>
  <c r="E166"/>
  <c r="E52"/>
  <c r="E39"/>
  <c r="E102"/>
  <c r="E445"/>
  <c r="E402"/>
  <c r="O6"/>
  <c r="E451"/>
  <c r="E107"/>
  <c r="E25"/>
  <c r="E556"/>
  <c r="E172"/>
  <c r="E204"/>
  <c r="U6"/>
  <c r="E288"/>
  <c r="E258"/>
  <c r="E291"/>
  <c r="E255"/>
  <c r="E207"/>
  <c r="E305"/>
  <c r="E393"/>
  <c r="E479"/>
  <c r="E527"/>
  <c r="E417"/>
  <c r="E449"/>
  <c r="E73"/>
  <c r="E88"/>
  <c r="E43"/>
  <c r="E365"/>
  <c r="E145"/>
  <c r="E196"/>
  <c r="E126"/>
  <c r="E480"/>
  <c r="E276"/>
  <c r="E248"/>
  <c r="E279"/>
  <c r="E259"/>
  <c r="E211"/>
  <c r="E220"/>
  <c r="E370"/>
  <c r="E336"/>
  <c r="E347"/>
  <c r="E308"/>
  <c r="Y6"/>
  <c r="E517"/>
  <c r="E526"/>
  <c r="AR6"/>
  <c r="E400"/>
  <c r="E416"/>
  <c r="E466"/>
  <c r="E453"/>
  <c r="E477"/>
  <c r="E65"/>
  <c r="E58"/>
  <c r="E96"/>
  <c r="E51"/>
  <c r="AQ6"/>
  <c r="E540"/>
  <c r="E513"/>
  <c r="E197"/>
  <c r="E160"/>
  <c r="E198"/>
  <c r="E162"/>
  <c r="E134"/>
  <c r="E345"/>
  <c r="E285"/>
  <c r="E242"/>
  <c r="E281"/>
  <c r="E235"/>
  <c r="AI6"/>
  <c r="E72"/>
  <c r="E61"/>
  <c r="E133"/>
  <c r="E290"/>
  <c r="E229"/>
  <c r="E239"/>
  <c r="E440"/>
  <c r="E433"/>
  <c r="E87"/>
  <c r="AF6"/>
  <c r="E120"/>
  <c r="E234"/>
  <c r="E331"/>
  <c r="E529"/>
  <c r="E458"/>
  <c r="E40"/>
  <c r="E191"/>
  <c r="E128"/>
  <c r="E362"/>
  <c r="E300"/>
  <c r="E29"/>
  <c r="E559"/>
  <c r="E555"/>
  <c r="E176"/>
  <c r="E150"/>
  <c r="E379"/>
  <c r="E256"/>
  <c r="E228"/>
  <c r="E355"/>
  <c r="E554"/>
  <c r="E314"/>
  <c r="E530"/>
  <c r="E491"/>
  <c r="E324"/>
  <c r="E499"/>
  <c r="E525"/>
  <c r="E502"/>
  <c r="E538"/>
  <c r="E319"/>
  <c r="E334"/>
  <c r="E558"/>
  <c r="K6"/>
  <c r="E489"/>
  <c r="E403"/>
  <c r="E456"/>
  <c r="E325"/>
  <c r="E173"/>
  <c r="E353"/>
  <c r="E286"/>
  <c r="E217"/>
  <c r="E569"/>
  <c r="E396"/>
  <c r="E436"/>
  <c r="E50"/>
  <c r="E183"/>
  <c r="E177"/>
  <c r="AJ6"/>
  <c r="E216"/>
  <c r="E260"/>
  <c r="E236"/>
  <c r="E320"/>
  <c r="E307"/>
  <c r="E546"/>
  <c r="E392"/>
  <c r="E432"/>
  <c r="E474"/>
  <c r="E45"/>
  <c r="E90"/>
  <c r="E15"/>
  <c r="E373"/>
  <c r="E153"/>
  <c r="E171"/>
  <c r="E284"/>
  <c r="E210"/>
  <c r="E251"/>
  <c r="E360"/>
  <c r="E339"/>
  <c r="E354"/>
  <c r="E42"/>
  <c r="E106"/>
  <c r="E56"/>
  <c r="T6"/>
  <c r="E14"/>
  <c r="E531"/>
  <c r="E181"/>
  <c r="E169"/>
  <c r="E122"/>
  <c r="E144"/>
  <c r="E118"/>
  <c r="E495"/>
  <c r="E269"/>
  <c r="E226"/>
  <c r="E208"/>
  <c r="E219"/>
  <c r="E378"/>
  <c r="E344"/>
  <c r="E338"/>
  <c r="E163"/>
  <c r="E485"/>
  <c r="E506"/>
  <c r="E364"/>
  <c r="E335"/>
  <c r="E562"/>
  <c r="E351"/>
  <c r="E483"/>
  <c r="E571"/>
  <c r="E342"/>
  <c r="E366"/>
  <c r="E518"/>
  <c r="AL6"/>
  <c r="E532"/>
  <c r="E497"/>
  <c r="E522"/>
  <c r="E330"/>
  <c r="E167"/>
  <c r="E368"/>
  <c r="E340"/>
  <c r="E566"/>
  <c r="E572"/>
  <c r="E350"/>
  <c r="E515"/>
  <c r="E510"/>
  <c r="E521"/>
  <c r="E553"/>
  <c r="E516"/>
  <c r="E496"/>
  <c r="E494"/>
  <c r="E504"/>
  <c r="E130"/>
  <c r="E273"/>
  <c r="E227"/>
  <c r="E352"/>
  <c r="E542"/>
  <c r="E406"/>
  <c r="E461"/>
  <c r="E563"/>
  <c r="E488"/>
  <c r="E138"/>
  <c r="E254"/>
  <c r="E244"/>
  <c r="E328"/>
  <c r="E112"/>
  <c r="E71"/>
  <c r="E519"/>
  <c r="E341"/>
  <c r="E137"/>
  <c r="E155"/>
  <c r="E268"/>
  <c r="E240"/>
  <c r="E252"/>
  <c r="E316"/>
  <c r="E301"/>
  <c r="E346"/>
  <c r="E175"/>
  <c r="E382"/>
  <c r="E544"/>
  <c r="E318"/>
  <c r="E484"/>
  <c r="E541"/>
  <c r="E565"/>
  <c r="E326"/>
  <c r="E523"/>
  <c r="E380"/>
  <c r="E356"/>
  <c r="E557"/>
  <c r="E503"/>
  <c r="E481"/>
  <c r="E13"/>
  <c r="BA5"/>
  <c r="G29" i="6"/>
  <c r="E29" s="1"/>
  <c r="K15" i="1" s="1"/>
  <c r="AZ16" i="3"/>
  <c r="A9" i="64"/>
  <c r="A9" i="51"/>
  <c r="B9" i="63" s="1"/>
  <c r="A25" i="51"/>
  <c r="B18" i="63" s="1"/>
  <c r="A3" i="55"/>
  <c r="B56" i="63"/>
  <c r="D72" i="39"/>
  <c r="D67" i="40"/>
  <c r="G66" i="36"/>
  <c r="J18"/>
  <c r="AE8" i="1"/>
  <c r="AE7"/>
  <c r="W18" i="36"/>
  <c r="AC18"/>
  <c r="L20" i="6"/>
  <c r="L19"/>
  <c r="F65" i="40"/>
  <c r="F67" s="1"/>
  <c r="E72" i="39"/>
  <c r="F70"/>
  <c r="F72" s="1"/>
  <c r="S8" i="1"/>
  <c r="S9"/>
  <c r="R9"/>
  <c r="R8"/>
  <c r="C45" i="9"/>
  <c r="H14" i="66"/>
  <c r="B7"/>
  <c r="C44" i="9"/>
  <c r="G14" i="66"/>
  <c r="B6"/>
  <c r="O40" i="9"/>
  <c r="K31"/>
  <c r="K32"/>
  <c r="R7" i="54"/>
  <c r="B52" i="63"/>
  <c r="N69" i="9"/>
  <c r="O39"/>
  <c r="K29"/>
  <c r="M86"/>
  <c r="N86"/>
  <c r="M84"/>
  <c r="N84"/>
  <c r="M88"/>
  <c r="N88"/>
  <c r="M87"/>
  <c r="N87"/>
  <c r="M85"/>
  <c r="N85"/>
  <c r="M83"/>
  <c r="N83"/>
  <c r="K30"/>
  <c r="R6" i="54"/>
  <c r="B50" i="63"/>
  <c r="N89" i="9"/>
  <c r="O89"/>
  <c r="N76"/>
  <c r="C46"/>
  <c r="K33"/>
  <c r="O41"/>
  <c r="I14" i="66"/>
  <c r="B8"/>
  <c r="K34" i="9"/>
  <c r="R8" i="54"/>
  <c r="B54" i="63"/>
  <c r="E9" i="67"/>
  <c r="F18" i="44"/>
  <c r="M8"/>
  <c r="B12" i="67"/>
  <c r="M6" i="15"/>
  <c r="F11" i="67"/>
  <c r="J15" i="15"/>
  <c r="L48"/>
  <c r="M8"/>
  <c r="M28" i="44"/>
  <c r="M29" i="15"/>
  <c r="M24"/>
  <c r="M28"/>
  <c r="D21" i="12"/>
  <c r="F13" i="15"/>
  <c r="F40"/>
  <c r="M24" i="44"/>
  <c r="M30"/>
  <c r="F43"/>
  <c r="F10" i="67"/>
  <c r="E13"/>
  <c r="J17" i="44"/>
  <c r="B13" i="67"/>
  <c r="N4" i="65"/>
  <c r="F15" i="44"/>
  <c r="E12" i="67"/>
  <c r="B9"/>
  <c r="L49" i="44"/>
  <c r="F9"/>
  <c r="M25"/>
  <c r="F16" i="15"/>
  <c r="F36"/>
  <c r="B14" i="67"/>
  <c r="F45" i="44"/>
  <c r="F14" i="67"/>
  <c r="N6" i="65"/>
  <c r="J36" i="15"/>
  <c r="F9" i="67"/>
  <c r="M11" i="44"/>
  <c r="F11"/>
  <c r="M31"/>
  <c r="B8" i="67"/>
  <c r="F40" i="44"/>
  <c r="M26" i="15"/>
  <c r="M26" i="44"/>
  <c r="F39"/>
  <c r="E14" i="67"/>
  <c r="E8"/>
  <c r="F8"/>
  <c r="F12"/>
  <c r="F43" i="15"/>
  <c r="B10" i="67"/>
  <c r="N3" i="65"/>
  <c r="M9" i="15"/>
  <c r="F37"/>
  <c r="F42"/>
  <c r="F28" i="44"/>
  <c r="L48"/>
  <c r="F10"/>
  <c r="B11" i="67"/>
  <c r="F26" i="15"/>
  <c r="M23"/>
  <c r="E10" i="67"/>
  <c r="N5" i="65"/>
  <c r="E11" i="67"/>
  <c r="F13"/>
  <c r="F38" i="44"/>
  <c r="F7" i="15"/>
  <c r="F9"/>
  <c r="N7" i="65"/>
  <c r="M22" i="15"/>
  <c r="F8"/>
  <c r="M10" i="44"/>
  <c r="L47" i="15"/>
  <c r="F38"/>
  <c r="E564" i="3" l="1"/>
  <c r="E20"/>
  <c r="E509"/>
  <c r="E358"/>
  <c r="E18"/>
  <c r="E377"/>
  <c r="E17"/>
  <c r="E511"/>
  <c r="E322"/>
  <c r="S6"/>
  <c r="E26"/>
  <c r="AB6"/>
  <c r="E329"/>
  <c r="E487"/>
  <c r="E567"/>
  <c r="E310"/>
  <c r="E371"/>
  <c r="E384"/>
  <c r="E512"/>
  <c r="E501"/>
  <c r="E514"/>
  <c r="E159"/>
  <c r="E312"/>
  <c r="E323"/>
  <c r="E267"/>
  <c r="E315"/>
  <c r="E182"/>
  <c r="E361"/>
  <c r="E35"/>
  <c r="E298"/>
  <c r="E212"/>
  <c r="E498"/>
  <c r="E19"/>
  <c r="E95"/>
  <c r="E524"/>
  <c r="E385"/>
  <c r="E277"/>
  <c r="E16"/>
  <c r="E81"/>
  <c r="E246"/>
  <c r="E108"/>
  <c r="E551"/>
  <c r="E493"/>
  <c r="E180"/>
  <c r="E508"/>
  <c r="E306"/>
  <c r="E271"/>
  <c r="E188"/>
  <c r="E24"/>
  <c r="E287"/>
  <c r="E76"/>
  <c r="E386"/>
  <c r="E66"/>
  <c r="E302"/>
  <c r="E123"/>
  <c r="E419"/>
  <c r="E224"/>
  <c r="E505"/>
  <c r="E121"/>
  <c r="AG6"/>
  <c r="E74"/>
  <c r="E105"/>
  <c r="E448"/>
  <c r="V6"/>
  <c r="E309"/>
  <c r="E369"/>
  <c r="E243"/>
  <c r="E264"/>
  <c r="E154"/>
  <c r="E543"/>
  <c r="E465"/>
  <c r="E486"/>
  <c r="E372"/>
  <c r="E214"/>
  <c r="E116"/>
  <c r="E67"/>
  <c r="E429"/>
  <c r="E467"/>
  <c r="L6"/>
  <c r="E275"/>
  <c r="E303"/>
  <c r="E507"/>
  <c r="E37"/>
  <c r="E189"/>
  <c r="E533"/>
  <c r="E232"/>
  <c r="N6"/>
  <c r="E473"/>
  <c r="E482"/>
  <c r="E184"/>
  <c r="E545"/>
  <c r="S34" i="34"/>
  <c r="F86"/>
  <c r="G86" s="1"/>
  <c r="F23"/>
  <c r="AA23" s="1"/>
  <c r="H23"/>
  <c r="AB23" s="1"/>
  <c r="S23"/>
  <c r="G20" i="6"/>
  <c r="C14" i="69"/>
  <c r="C15" s="1"/>
  <c r="AC43" i="34"/>
  <c r="AB33" i="39"/>
  <c r="S33"/>
  <c r="AC33"/>
  <c r="AC31"/>
  <c r="S31"/>
  <c r="W29"/>
  <c r="W27"/>
  <c r="S27"/>
  <c r="U27"/>
  <c r="W25"/>
  <c r="S25"/>
  <c r="W23"/>
  <c r="S23"/>
  <c r="AC21"/>
  <c r="AB21"/>
  <c r="W16"/>
  <c r="S14"/>
  <c r="W14"/>
  <c r="AC17"/>
  <c r="AB17"/>
  <c r="G70"/>
  <c r="H70" s="1"/>
  <c r="D58" i="33"/>
  <c r="E58" s="1"/>
  <c r="F58" s="1"/>
  <c r="G58" s="1"/>
  <c r="H58" s="1"/>
  <c r="I58" s="1"/>
  <c r="J58" s="1"/>
  <c r="K58" s="1"/>
  <c r="L58" s="1"/>
  <c r="M58" s="1"/>
  <c r="N58" s="1"/>
  <c r="O58" s="1"/>
  <c r="J7"/>
  <c r="AC7" s="1"/>
  <c r="V48" s="1"/>
  <c r="I48" s="1"/>
  <c r="I52" s="1"/>
  <c r="J52" s="1"/>
  <c r="D58" i="21"/>
  <c r="E58" s="1"/>
  <c r="F58" s="1"/>
  <c r="G58" s="1"/>
  <c r="H58" s="1"/>
  <c r="I58" s="1"/>
  <c r="J58" s="1"/>
  <c r="K58" s="1"/>
  <c r="L58" s="1"/>
  <c r="M58" s="1"/>
  <c r="N58" s="1"/>
  <c r="O58" s="1"/>
  <c r="F7"/>
  <c r="J7"/>
  <c r="AC7" s="1"/>
  <c r="V48" s="1"/>
  <c r="I48" s="1"/>
  <c r="H7"/>
  <c r="G72" i="39"/>
  <c r="D60" i="46"/>
  <c r="D64"/>
  <c r="H11" i="34"/>
  <c r="AB11" s="1"/>
  <c r="F11"/>
  <c r="AA44"/>
  <c r="H112"/>
  <c r="I112" s="1"/>
  <c r="J112" s="1"/>
  <c r="K112" s="1"/>
  <c r="L112" s="1"/>
  <c r="M112" s="1"/>
  <c r="H37"/>
  <c r="J37"/>
  <c r="AC37" s="1"/>
  <c r="F37"/>
  <c r="AB38"/>
  <c r="W37"/>
  <c r="AC35"/>
  <c r="AB35"/>
  <c r="S35"/>
  <c r="AA36"/>
  <c r="AA33"/>
  <c r="W23"/>
  <c r="S17"/>
  <c r="U43"/>
  <c r="S43"/>
  <c r="AA41"/>
  <c r="AB41"/>
  <c r="AC41"/>
  <c r="AC40"/>
  <c r="AA39"/>
  <c r="AB39"/>
  <c r="AC36"/>
  <c r="U36"/>
  <c r="W33"/>
  <c r="AB33"/>
  <c r="U15"/>
  <c r="S28"/>
  <c r="AA28"/>
  <c r="U27"/>
  <c r="AC30"/>
  <c r="W31"/>
  <c r="AC25"/>
  <c r="U25"/>
  <c r="S25"/>
  <c r="U23"/>
  <c r="S21"/>
  <c r="U19"/>
  <c r="W19"/>
  <c r="W17"/>
  <c r="U17"/>
  <c r="W15"/>
  <c r="U11"/>
  <c r="AC11"/>
  <c r="W9"/>
  <c r="S10"/>
  <c r="AA9"/>
  <c r="A30" i="51"/>
  <c r="B22" i="63" s="1"/>
  <c r="A30" i="64"/>
  <c r="C21" i="12"/>
  <c r="E297" i="3"/>
  <c r="E411"/>
  <c r="E395"/>
  <c r="E250"/>
  <c r="AN6"/>
  <c r="E41"/>
  <c r="E280"/>
  <c r="E471"/>
  <c r="E59"/>
  <c r="E418"/>
  <c r="E270"/>
  <c r="E408"/>
  <c r="E464"/>
  <c r="E92"/>
  <c r="E157"/>
  <c r="E238"/>
  <c r="E209"/>
  <c r="E414"/>
  <c r="E161"/>
  <c r="E44"/>
  <c r="E450"/>
  <c r="E202"/>
  <c r="E492"/>
  <c r="E36"/>
  <c r="E149"/>
  <c r="E131"/>
  <c r="E295"/>
  <c r="E237"/>
  <c r="E249"/>
  <c r="E304"/>
  <c r="E89"/>
  <c r="E428"/>
  <c r="E549"/>
  <c r="E165"/>
  <c r="E201"/>
  <c r="E100"/>
  <c r="E460"/>
  <c r="E404"/>
  <c r="E170"/>
  <c r="E374"/>
  <c r="I3" i="6"/>
  <c r="E30" i="3"/>
  <c r="E274"/>
  <c r="E223"/>
  <c r="E463"/>
  <c r="E441"/>
  <c r="E32"/>
  <c r="E205"/>
  <c r="E292"/>
  <c r="E367"/>
  <c r="E547"/>
  <c r="E399"/>
  <c r="E426"/>
  <c r="E415"/>
  <c r="E447"/>
  <c r="E478"/>
  <c r="E60"/>
  <c r="E80"/>
  <c r="E33"/>
  <c r="E317"/>
  <c r="E75"/>
  <c r="E28"/>
  <c r="Q6"/>
  <c r="E357"/>
  <c r="E178"/>
  <c r="E141"/>
  <c r="E119"/>
  <c r="E179"/>
  <c r="J6"/>
  <c r="E168"/>
  <c r="E500"/>
  <c r="AS6"/>
  <c r="E48"/>
  <c r="E34"/>
  <c r="E97"/>
  <c r="E444"/>
  <c r="E438"/>
  <c r="E407"/>
  <c r="AE6"/>
  <c r="E383"/>
  <c r="E455"/>
  <c r="E550"/>
  <c r="E289"/>
  <c r="E561"/>
  <c r="E283"/>
  <c r="E23"/>
  <c r="E535"/>
  <c r="E443"/>
  <c r="E156"/>
  <c r="E265"/>
  <c r="E381"/>
  <c r="E194"/>
  <c r="E49"/>
  <c r="AM6"/>
  <c r="E427"/>
  <c r="E78"/>
  <c r="E193"/>
  <c r="E337"/>
  <c r="E278"/>
  <c r="E390"/>
  <c r="E104"/>
  <c r="E158"/>
  <c r="E94"/>
  <c r="E296"/>
  <c r="E534"/>
  <c r="E472"/>
  <c r="E376"/>
  <c r="E187"/>
  <c r="E387"/>
  <c r="E253"/>
  <c r="E294"/>
  <c r="E225"/>
  <c r="R6"/>
  <c r="E537"/>
  <c r="E21"/>
  <c r="E199"/>
  <c r="E125"/>
  <c r="E54"/>
  <c r="E64"/>
  <c r="E423"/>
  <c r="AH6"/>
  <c r="E452"/>
  <c r="E140"/>
  <c r="E435"/>
  <c r="P6"/>
  <c r="E213"/>
  <c r="E343"/>
  <c r="E490"/>
  <c r="E84"/>
  <c r="E536"/>
  <c r="E142"/>
  <c r="E218"/>
  <c r="AP6"/>
  <c r="E397"/>
  <c r="E410"/>
  <c r="E442"/>
  <c r="E431"/>
  <c r="E462"/>
  <c r="E468"/>
  <c r="E110"/>
  <c r="H61" i="46"/>
  <c r="H58"/>
  <c r="D96" i="9"/>
  <c r="B41" i="1"/>
  <c r="D23" i="15"/>
  <c r="L27" i="6"/>
  <c r="BL13" i="3"/>
  <c r="AZ13" s="1"/>
  <c r="AZ5" s="1"/>
  <c r="D12" i="11"/>
  <c r="C12" s="1"/>
  <c r="K17" i="4"/>
  <c r="A22" i="51" s="1"/>
  <c r="B16" i="63" s="1"/>
  <c r="W7" i="33"/>
  <c r="E14" i="52"/>
  <c r="G30" i="6"/>
  <c r="E413" i="3"/>
  <c r="E86"/>
  <c r="AO6"/>
  <c r="E476"/>
  <c r="M6"/>
  <c r="E68"/>
  <c r="E475"/>
  <c r="E192"/>
  <c r="E241"/>
  <c r="E135"/>
  <c r="E421"/>
  <c r="E114"/>
  <c r="E69"/>
  <c r="E147"/>
  <c r="E206"/>
  <c r="E348"/>
  <c r="E446"/>
  <c r="E22"/>
  <c r="E132"/>
  <c r="E93"/>
  <c r="E152"/>
  <c r="E439"/>
  <c r="E333"/>
  <c r="E394"/>
  <c r="E437"/>
  <c r="E459"/>
  <c r="E91"/>
  <c r="E55"/>
  <c r="E46"/>
  <c r="E117"/>
  <c r="E115"/>
  <c r="E282"/>
  <c r="E221"/>
  <c r="E231"/>
  <c r="E359"/>
  <c r="E570"/>
  <c r="E457"/>
  <c r="E528"/>
  <c r="E195"/>
  <c r="E375"/>
  <c r="E31"/>
  <c r="E470"/>
  <c r="E391"/>
  <c r="E409"/>
  <c r="X6"/>
  <c r="E349"/>
  <c r="E321"/>
  <c r="E83"/>
  <c r="AA6"/>
  <c r="E186"/>
  <c r="E127"/>
  <c r="E124"/>
  <c r="AD6"/>
  <c r="AC6" s="1"/>
  <c r="E311"/>
  <c r="E266"/>
  <c r="E222"/>
  <c r="E299"/>
  <c r="E263"/>
  <c r="E215"/>
  <c r="E388"/>
  <c r="E327"/>
  <c r="E424"/>
  <c r="I6"/>
  <c r="H6" s="1"/>
  <c r="E6" s="1"/>
  <c r="E430"/>
  <c r="E103"/>
  <c r="E82"/>
  <c r="E548"/>
  <c r="E146"/>
  <c r="E200"/>
  <c r="E164"/>
  <c r="Z6"/>
  <c r="E77"/>
  <c r="E62"/>
  <c r="E99"/>
  <c r="E454"/>
  <c r="E434"/>
  <c r="E389"/>
  <c r="E262"/>
  <c r="E520"/>
  <c r="E552"/>
  <c r="E230"/>
  <c r="E101"/>
  <c r="AK6"/>
  <c r="E57"/>
  <c r="E143"/>
  <c r="I52" i="21"/>
  <c r="J52" s="1"/>
  <c r="C15" i="43"/>
  <c r="H1" i="65"/>
  <c r="W7" i="21"/>
  <c r="F31" i="6"/>
  <c r="H51" i="46"/>
  <c r="X7"/>
  <c r="E17"/>
  <c r="N17"/>
  <c r="O17"/>
  <c r="M17"/>
  <c r="L17"/>
  <c r="H22"/>
  <c r="Y11"/>
  <c r="Y13" s="1"/>
  <c r="H101"/>
  <c r="H102" s="1"/>
  <c r="G22"/>
  <c r="J22"/>
  <c r="F101"/>
  <c r="F106" s="1"/>
  <c r="D101"/>
  <c r="D106" s="1"/>
  <c r="E28" i="6"/>
  <c r="O11" i="1"/>
  <c r="P11" s="1"/>
  <c r="O13"/>
  <c r="P13" s="1"/>
  <c r="O9"/>
  <c r="P9" s="1"/>
  <c r="E14" i="6"/>
  <c r="E15"/>
  <c r="E13"/>
  <c r="E12"/>
  <c r="E10"/>
  <c r="E11"/>
  <c r="O12" i="1"/>
  <c r="P12" s="1"/>
  <c r="AP7"/>
  <c r="G13"/>
  <c r="I70" i="39"/>
  <c r="H72"/>
  <c r="G65" i="40"/>
  <c r="E52" i="37"/>
  <c r="D46" i="36"/>
  <c r="E48" i="35"/>
  <c r="D59" i="34"/>
  <c r="G6" i="1"/>
  <c r="H7" i="33"/>
  <c r="F7"/>
  <c r="H70" i="46"/>
  <c r="H73"/>
  <c r="H50"/>
  <c r="H48"/>
  <c r="F35"/>
  <c r="I17"/>
  <c r="G17" s="1"/>
  <c r="C16" s="1"/>
  <c r="H63"/>
  <c r="I101"/>
  <c r="I102" s="1"/>
  <c r="M101"/>
  <c r="M107" s="1"/>
  <c r="N101"/>
  <c r="N105" s="1"/>
  <c r="AC11"/>
  <c r="AC13" s="1"/>
  <c r="AD11"/>
  <c r="AJ11"/>
  <c r="H64"/>
  <c r="H66"/>
  <c r="D100"/>
  <c r="H62"/>
  <c r="AF12"/>
  <c r="K100"/>
  <c r="AB12"/>
  <c r="AJ12"/>
  <c r="F102"/>
  <c r="F103"/>
  <c r="C101"/>
  <c r="C109" s="1"/>
  <c r="G101"/>
  <c r="J101"/>
  <c r="B113"/>
  <c r="N104" i="45"/>
  <c r="L101" i="46"/>
  <c r="F22"/>
  <c r="E101"/>
  <c r="Z7"/>
  <c r="K101"/>
  <c r="E22"/>
  <c r="AG11"/>
  <c r="AG13" s="1"/>
  <c r="Z11"/>
  <c r="Z13" s="1"/>
  <c r="AH11"/>
  <c r="AA11"/>
  <c r="AA13" s="1"/>
  <c r="AI11"/>
  <c r="AI13" s="1"/>
  <c r="AF11"/>
  <c r="AF13" s="1"/>
  <c r="AE11"/>
  <c r="AE13" s="1"/>
  <c r="H60"/>
  <c r="H59"/>
  <c r="H74"/>
  <c r="H65"/>
  <c r="AB11"/>
  <c r="H75"/>
  <c r="E10"/>
  <c r="E9"/>
  <c r="E11"/>
  <c r="E8"/>
  <c r="I106"/>
  <c r="H72"/>
  <c r="H69"/>
  <c r="H77"/>
  <c r="H76"/>
  <c r="H55"/>
  <c r="H54"/>
  <c r="H52"/>
  <c r="H47"/>
  <c r="AD12"/>
  <c r="AH12"/>
  <c r="AH13" s="1"/>
  <c r="C7" i="59"/>
  <c r="C6" s="1"/>
  <c r="B6" i="52"/>
  <c r="E7"/>
  <c r="E6"/>
  <c r="C4" i="4" s="1"/>
  <c r="B20" i="55" s="1"/>
  <c r="B70" i="63" s="1"/>
  <c r="E4" i="52"/>
  <c r="B7"/>
  <c r="E5"/>
  <c r="P21" i="46"/>
  <c r="B7" i="59"/>
  <c r="B6" s="1"/>
  <c r="D7"/>
  <c r="P22" i="46"/>
  <c r="P23"/>
  <c r="P25"/>
  <c r="B73" i="39" s="1"/>
  <c r="P24" i="46"/>
  <c r="B68" i="40" s="1"/>
  <c r="E22" i="52"/>
  <c r="B22"/>
  <c r="B10"/>
  <c r="B11"/>
  <c r="B4"/>
  <c r="E9"/>
  <c r="F63" i="15"/>
  <c r="F67"/>
  <c r="C4" i="65"/>
  <c r="B39" i="1" s="1"/>
  <c r="J60" i="44"/>
  <c r="J54"/>
  <c r="I55"/>
  <c r="J58"/>
  <c r="J56" s="1"/>
  <c r="J59" s="1"/>
  <c r="Q52" s="1"/>
  <c r="L57"/>
  <c r="J61"/>
  <c r="Q50" s="1"/>
  <c r="Q72" i="15"/>
  <c r="Q73" i="44"/>
  <c r="F64" i="15"/>
  <c r="L60" i="44"/>
  <c r="L59"/>
  <c r="C27" i="15"/>
  <c r="F65"/>
  <c r="F50"/>
  <c r="L59"/>
  <c r="L58"/>
  <c r="F49"/>
  <c r="M7"/>
  <c r="J6" s="1"/>
  <c r="C29" i="44"/>
  <c r="F70" i="15"/>
  <c r="M9" i="44"/>
  <c r="J8" s="1"/>
  <c r="I54" i="15"/>
  <c r="J57"/>
  <c r="J55" s="1"/>
  <c r="J58" s="1"/>
  <c r="Q51" s="1"/>
  <c r="J53"/>
  <c r="L56"/>
  <c r="E17" i="52"/>
  <c r="E11"/>
  <c r="E15"/>
  <c r="E13"/>
  <c r="B14"/>
  <c r="E8"/>
  <c r="E16"/>
  <c r="B5"/>
  <c r="B9"/>
  <c r="B16"/>
  <c r="B8"/>
  <c r="B13"/>
  <c r="E10"/>
  <c r="E4" i="4" s="1"/>
  <c r="B21" i="55" s="1"/>
  <c r="B72" i="63" s="1"/>
  <c r="E21" i="52"/>
  <c r="F31" i="15"/>
  <c r="F58"/>
  <c r="F33" i="44"/>
  <c r="M17" i="15"/>
  <c r="M19" i="44"/>
  <c r="I7" i="65"/>
  <c r="I6"/>
  <c r="J5"/>
  <c r="I3"/>
  <c r="J4"/>
  <c r="C15" i="12"/>
  <c r="J6" i="65"/>
  <c r="J3"/>
  <c r="C16" i="15"/>
  <c r="F33" i="12"/>
  <c r="I4" i="65"/>
  <c r="J7"/>
  <c r="C18" i="44"/>
  <c r="I5" i="65"/>
  <c r="F109" i="46" l="1"/>
  <c r="BL5" i="3"/>
  <c r="E20" i="6"/>
  <c r="G27"/>
  <c r="G31" s="1"/>
  <c r="AB7" i="21"/>
  <c r="T48" s="1"/>
  <c r="G48" s="1"/>
  <c r="U7"/>
  <c r="AA7"/>
  <c r="R48" s="1"/>
  <c r="S7"/>
  <c r="E58" i="46"/>
  <c r="B56" s="1"/>
  <c r="C24" s="1"/>
  <c r="S11" i="34"/>
  <c r="AA11"/>
  <c r="AA37"/>
  <c r="S37"/>
  <c r="AB37"/>
  <c r="U37"/>
  <c r="E3" i="6"/>
  <c r="D10" i="11" s="1"/>
  <c r="AY6" i="3"/>
  <c r="AY530" s="1"/>
  <c r="F27" i="43"/>
  <c r="C27" s="1"/>
  <c r="F72" i="9"/>
  <c r="F32" i="15"/>
  <c r="F59" s="1"/>
  <c r="F29" i="12"/>
  <c r="D86" i="9"/>
  <c r="F31" i="43"/>
  <c r="C31" s="1"/>
  <c r="M18" i="15"/>
  <c r="F34" i="44"/>
  <c r="F66" i="9"/>
  <c r="P72" s="1"/>
  <c r="F71"/>
  <c r="F70"/>
  <c r="M20" i="44"/>
  <c r="F30"/>
  <c r="C30" s="1"/>
  <c r="F28" i="15"/>
  <c r="C28" s="1"/>
  <c r="H103" i="46"/>
  <c r="M109"/>
  <c r="M103"/>
  <c r="D16" i="43"/>
  <c r="C16" s="1"/>
  <c r="D44" i="9"/>
  <c r="F105" i="46"/>
  <c r="F104"/>
  <c r="F107"/>
  <c r="C34" i="12"/>
  <c r="D33" s="1"/>
  <c r="B5" i="59"/>
  <c r="D6"/>
  <c r="M20" i="46" s="1"/>
  <c r="C19" s="1"/>
  <c r="C5" i="59"/>
  <c r="D5" s="1"/>
  <c r="D107" i="46"/>
  <c r="M106"/>
  <c r="M104"/>
  <c r="J1" i="65"/>
  <c r="I1"/>
  <c r="E20" i="46"/>
  <c r="P28" s="1"/>
  <c r="M102"/>
  <c r="H107"/>
  <c r="M105"/>
  <c r="C5"/>
  <c r="H105"/>
  <c r="H109"/>
  <c r="D103"/>
  <c r="D102"/>
  <c r="H104"/>
  <c r="H106"/>
  <c r="D22"/>
  <c r="D5"/>
  <c r="D105"/>
  <c r="D109"/>
  <c r="D104"/>
  <c r="AJ13"/>
  <c r="I109"/>
  <c r="AY549" i="3"/>
  <c r="AY69"/>
  <c r="AY129"/>
  <c r="AY529"/>
  <c r="AY74"/>
  <c r="AY98"/>
  <c r="AY291"/>
  <c r="AY383"/>
  <c r="AY397"/>
  <c r="AY422"/>
  <c r="AY149"/>
  <c r="AY146"/>
  <c r="AY379"/>
  <c r="AY324"/>
  <c r="AY463"/>
  <c r="AY39"/>
  <c r="AY135"/>
  <c r="AY258"/>
  <c r="AY372"/>
  <c r="AY315"/>
  <c r="AY62"/>
  <c r="AY168"/>
  <c r="AY376"/>
  <c r="AY464"/>
  <c r="AY155"/>
  <c r="AY295"/>
  <c r="AY450"/>
  <c r="AY194"/>
  <c r="AY307"/>
  <c r="AY16"/>
  <c r="AY412"/>
  <c r="AY278"/>
  <c r="AY201"/>
  <c r="AY253"/>
  <c r="AY330"/>
  <c r="AY501"/>
  <c r="AY91"/>
  <c r="AY99"/>
  <c r="AY449"/>
  <c r="AY481"/>
  <c r="AY13"/>
  <c r="AY103"/>
  <c r="AY191"/>
  <c r="AY204"/>
  <c r="AY274"/>
  <c r="AY150"/>
  <c r="AY275"/>
  <c r="AY216"/>
  <c r="AY556"/>
  <c r="AY432"/>
  <c r="AY414"/>
  <c r="AY28"/>
  <c r="AY114"/>
  <c r="AY280"/>
  <c r="AY304"/>
  <c r="AY311"/>
  <c r="AY38"/>
  <c r="AY172"/>
  <c r="AY227"/>
  <c r="AY257"/>
  <c r="AY558"/>
  <c r="BS6"/>
  <c r="AY120"/>
  <c r="AY254"/>
  <c r="AY424"/>
  <c r="AY394"/>
  <c r="AY266"/>
  <c r="AY359"/>
  <c r="AY156"/>
  <c r="AY282"/>
  <c r="AY14"/>
  <c r="AY437"/>
  <c r="AY378"/>
  <c r="AY544"/>
  <c r="AY193"/>
  <c r="AY493"/>
  <c r="AY27"/>
  <c r="AY24"/>
  <c r="BN6"/>
  <c r="AY273"/>
  <c r="BD6"/>
  <c r="AY494"/>
  <c r="BL6"/>
  <c r="AY64"/>
  <c r="AY160"/>
  <c r="AY515"/>
  <c r="AY145"/>
  <c r="AY158"/>
  <c r="AY248"/>
  <c r="AY290"/>
  <c r="AY472"/>
  <c r="AY443"/>
  <c r="AY96"/>
  <c r="AY46"/>
  <c r="AY233"/>
  <c r="AY219"/>
  <c r="AY329"/>
  <c r="AY569"/>
  <c r="AY131"/>
  <c r="AY148"/>
  <c r="AY206"/>
  <c r="AY371"/>
  <c r="AY520"/>
  <c r="BA6"/>
  <c r="AY249"/>
  <c r="AY283"/>
  <c r="AY453"/>
  <c r="AY446"/>
  <c r="AY225"/>
  <c r="AY380"/>
  <c r="AY184"/>
  <c r="AY211"/>
  <c r="BQ6"/>
  <c r="AY396"/>
  <c r="AY151"/>
  <c r="AY221"/>
  <c r="AY360"/>
  <c r="AY245"/>
  <c r="AY531"/>
  <c r="AY32"/>
  <c r="AY137"/>
  <c r="AY239"/>
  <c r="AY485"/>
  <c r="AY500"/>
  <c r="AY565"/>
  <c r="AY107"/>
  <c r="AY244"/>
  <c r="AY458"/>
  <c r="BP6"/>
  <c r="AY152"/>
  <c r="AY399"/>
  <c r="AY489"/>
  <c r="AY553"/>
  <c r="AY546"/>
  <c r="AY199"/>
  <c r="AY242"/>
  <c r="AY480"/>
  <c r="AY417"/>
  <c r="AY174"/>
  <c r="AY287"/>
  <c r="AY90"/>
  <c r="AY163"/>
  <c r="AY351"/>
  <c r="AY385"/>
  <c r="AY358"/>
  <c r="AY492"/>
  <c r="AY328"/>
  <c r="AY15"/>
  <c r="AY344"/>
  <c r="AY355"/>
  <c r="AY63"/>
  <c r="AY220"/>
  <c r="AY223"/>
  <c r="BR6"/>
  <c r="AY71"/>
  <c r="AY497"/>
  <c r="AY190"/>
  <c r="AY285"/>
  <c r="AY440"/>
  <c r="AY404"/>
  <c r="AY235"/>
  <c r="AY327"/>
  <c r="AY195"/>
  <c r="AY567"/>
  <c r="AY401"/>
  <c r="AY538"/>
  <c r="AY495"/>
  <c r="AY534"/>
  <c r="AY267"/>
  <c r="AY557"/>
  <c r="AY363"/>
  <c r="AY478"/>
  <c r="AY545"/>
  <c r="AY418"/>
  <c r="AY339"/>
  <c r="AY434"/>
  <c r="AY433"/>
  <c r="AY289"/>
  <c r="AY547"/>
  <c r="AY93"/>
  <c r="AY455"/>
  <c r="AY130"/>
  <c r="AY213"/>
  <c r="AY334"/>
  <c r="AY502"/>
  <c r="AY331"/>
  <c r="AY110"/>
  <c r="AY270"/>
  <c r="AY298"/>
  <c r="AY487"/>
  <c r="AY403"/>
  <c r="AY571"/>
  <c r="AY514"/>
  <c r="AY509"/>
  <c r="AY454"/>
  <c r="AY554"/>
  <c r="AY499"/>
  <c r="AY539"/>
  <c r="AY391"/>
  <c r="AY532"/>
  <c r="AY507"/>
  <c r="AY564"/>
  <c r="AY48"/>
  <c r="AY212"/>
  <c r="AY215"/>
  <c r="BB6"/>
  <c r="AY61"/>
  <c r="AY251"/>
  <c r="AY23"/>
  <c r="AY296"/>
  <c r="AY237"/>
  <c r="AY353"/>
  <c r="AY173"/>
  <c r="AY338"/>
  <c r="AY59"/>
  <c r="AY284"/>
  <c r="AY522"/>
  <c r="AY79"/>
  <c r="AY306"/>
  <c r="AY419"/>
  <c r="AY33"/>
  <c r="AY243"/>
  <c r="AY473"/>
  <c r="AY426"/>
  <c r="AY551"/>
  <c r="AY373"/>
  <c r="AY541"/>
  <c r="AY301"/>
  <c r="AY167"/>
  <c r="AY466"/>
  <c r="AY439"/>
  <c r="AY496"/>
  <c r="AY180"/>
  <c r="AY474"/>
  <c r="AY477"/>
  <c r="AY482"/>
  <c r="AY292"/>
  <c r="AY441"/>
  <c r="AY452"/>
  <c r="AY491"/>
  <c r="E16" i="6"/>
  <c r="E60" i="40"/>
  <c r="E65" i="39"/>
  <c r="E61" i="40"/>
  <c r="E66" i="39"/>
  <c r="E63"/>
  <c r="E58" i="40"/>
  <c r="E64" i="39"/>
  <c r="E59" i="40"/>
  <c r="E67" i="39"/>
  <c r="E62" i="40"/>
  <c r="K14" i="1"/>
  <c r="E30" i="6"/>
  <c r="AB7" i="33"/>
  <c r="T48" s="1"/>
  <c r="G48" s="1"/>
  <c r="U7"/>
  <c r="F48" i="35"/>
  <c r="E46" i="36"/>
  <c r="H65" i="40"/>
  <c r="G67"/>
  <c r="AA7" i="33"/>
  <c r="R48" s="1"/>
  <c r="S7"/>
  <c r="E59" i="34"/>
  <c r="F59" s="1"/>
  <c r="G59" s="1"/>
  <c r="H59" s="1"/>
  <c r="I59" s="1"/>
  <c r="J59" s="1"/>
  <c r="K59" s="1"/>
  <c r="L59" s="1"/>
  <c r="M59" s="1"/>
  <c r="N59" s="1"/>
  <c r="O59" s="1"/>
  <c r="F52" i="37"/>
  <c r="J70" i="39"/>
  <c r="I72"/>
  <c r="I104" i="46"/>
  <c r="N104"/>
  <c r="N107"/>
  <c r="AD13"/>
  <c r="I103"/>
  <c r="N109"/>
  <c r="N106"/>
  <c r="N103"/>
  <c r="N102"/>
  <c r="I105"/>
  <c r="I107"/>
  <c r="AB13"/>
  <c r="K107"/>
  <c r="K103"/>
  <c r="K102"/>
  <c r="K106"/>
  <c r="K104"/>
  <c r="K105"/>
  <c r="E104"/>
  <c r="E106"/>
  <c r="E105"/>
  <c r="E103"/>
  <c r="E102"/>
  <c r="E107"/>
  <c r="L102"/>
  <c r="L105"/>
  <c r="L104"/>
  <c r="L106"/>
  <c r="L109"/>
  <c r="C23" s="1"/>
  <c r="C21" s="1"/>
  <c r="L107"/>
  <c r="L103"/>
  <c r="I116"/>
  <c r="J116" s="1"/>
  <c r="K116" s="1"/>
  <c r="L116" s="1"/>
  <c r="M116" s="1"/>
  <c r="I115"/>
  <c r="J115" s="1"/>
  <c r="K115" s="1"/>
  <c r="L115" s="1"/>
  <c r="M115" s="1"/>
  <c r="I118"/>
  <c r="J118" s="1"/>
  <c r="K118" s="1"/>
  <c r="L118" s="1"/>
  <c r="M118" s="1"/>
  <c r="B115"/>
  <c r="D116"/>
  <c r="E116" s="1"/>
  <c r="F116" s="1"/>
  <c r="G116" s="1"/>
  <c r="H116" s="1"/>
  <c r="B116"/>
  <c r="C116" s="1"/>
  <c r="D117"/>
  <c r="E117" s="1"/>
  <c r="F117" s="1"/>
  <c r="G117" s="1"/>
  <c r="H117" s="1"/>
  <c r="D118"/>
  <c r="E118" s="1"/>
  <c r="F118" s="1"/>
  <c r="D115"/>
  <c r="E115" s="1"/>
  <c r="F115" s="1"/>
  <c r="G115" s="1"/>
  <c r="H115" s="1"/>
  <c r="I117"/>
  <c r="J117" s="1"/>
  <c r="K117" s="1"/>
  <c r="L117" s="1"/>
  <c r="M117" s="1"/>
  <c r="G118"/>
  <c r="H118" s="1"/>
  <c r="B117"/>
  <c r="C117" s="1"/>
  <c r="B118"/>
  <c r="C118" s="1"/>
  <c r="G103"/>
  <c r="G106"/>
  <c r="G102"/>
  <c r="G104"/>
  <c r="G105"/>
  <c r="G107"/>
  <c r="G109"/>
  <c r="K109"/>
  <c r="J107"/>
  <c r="J106"/>
  <c r="J102"/>
  <c r="J104"/>
  <c r="J103"/>
  <c r="J105"/>
  <c r="C104"/>
  <c r="C107"/>
  <c r="C103"/>
  <c r="C102"/>
  <c r="C106"/>
  <c r="C105"/>
  <c r="E109"/>
  <c r="J109"/>
  <c r="C7"/>
  <c r="C48" i="15"/>
  <c r="O28" i="46"/>
  <c r="Q61" i="15"/>
  <c r="Q74"/>
  <c r="Q76" i="44"/>
  <c r="Q63"/>
  <c r="Q54"/>
  <c r="F1"/>
  <c r="F13"/>
  <c r="M11" i="15"/>
  <c r="J10" s="1"/>
  <c r="J5" s="1"/>
  <c r="F11"/>
  <c r="M13" i="44"/>
  <c r="J12" s="1"/>
  <c r="J7" s="1"/>
  <c r="F1" i="15"/>
  <c r="Q53"/>
  <c r="Q75"/>
  <c r="Q62"/>
  <c r="Q75" i="44"/>
  <c r="Q62"/>
  <c r="AE6" i="1"/>
  <c r="E2" i="65"/>
  <c r="F46" i="44"/>
  <c r="E3" i="65"/>
  <c r="AY536" i="3" l="1"/>
  <c r="AY89"/>
  <c r="AY177"/>
  <c r="AY240"/>
  <c r="AY510"/>
  <c r="D46" i="9"/>
  <c r="E6" i="6"/>
  <c r="C21" i="4"/>
  <c r="O5" i="54" s="1"/>
  <c r="B45" i="63" s="1"/>
  <c r="AY523" i="3"/>
  <c r="AY535"/>
  <c r="AY517"/>
  <c r="BJ6"/>
  <c r="AY511"/>
  <c r="AY94"/>
  <c r="AY51"/>
  <c r="AY462"/>
  <c r="AY332"/>
  <c r="AY102"/>
  <c r="AY533"/>
  <c r="AY119"/>
  <c r="AY470"/>
  <c r="AY345"/>
  <c r="AY347"/>
  <c r="AY513"/>
  <c r="AY19"/>
  <c r="AY300"/>
  <c r="AY231"/>
  <c r="AY524"/>
  <c r="AY263"/>
  <c r="AY469"/>
  <c r="AY164"/>
  <c r="BI6"/>
  <c r="AY377"/>
  <c r="AY468"/>
  <c r="AY297"/>
  <c r="AY210"/>
  <c r="AY490"/>
  <c r="BO6"/>
  <c r="AY393"/>
  <c r="AY189"/>
  <c r="AY395"/>
  <c r="AY322"/>
  <c r="AY281"/>
  <c r="AY40"/>
  <c r="AY475"/>
  <c r="AY60"/>
  <c r="AY108"/>
  <c r="AY506"/>
  <c r="AY483"/>
  <c r="AY559"/>
  <c r="AY185"/>
  <c r="AY375"/>
  <c r="AY447"/>
  <c r="AY153"/>
  <c r="AY299"/>
  <c r="AY78"/>
  <c r="AY208"/>
  <c r="AY20"/>
  <c r="AY503"/>
  <c r="AY247"/>
  <c r="AY415"/>
  <c r="AY112"/>
  <c r="AY518"/>
  <c r="AY456"/>
  <c r="AY388"/>
  <c r="AY370"/>
  <c r="AY323"/>
  <c r="BT6"/>
  <c r="AY319"/>
  <c r="AY413"/>
  <c r="AY166"/>
  <c r="AY367"/>
  <c r="AY29"/>
  <c r="AY316"/>
  <c r="AY138"/>
  <c r="AY471"/>
  <c r="AY365"/>
  <c r="AY171"/>
  <c r="AY409"/>
  <c r="AY368"/>
  <c r="AY259"/>
  <c r="AY75"/>
  <c r="AY154"/>
  <c r="AY207"/>
  <c r="AY268"/>
  <c r="AY320"/>
  <c r="AY314"/>
  <c r="AY430"/>
  <c r="AY229"/>
  <c r="AY369"/>
  <c r="AY85"/>
  <c r="AY224"/>
  <c r="AY111"/>
  <c r="AY335"/>
  <c r="AY200"/>
  <c r="AY445"/>
  <c r="AY271"/>
  <c r="AY187"/>
  <c r="AY411"/>
  <c r="AY386"/>
  <c r="AY293"/>
  <c r="AY92"/>
  <c r="AY21"/>
  <c r="AY525"/>
  <c r="AY124"/>
  <c r="AY35"/>
  <c r="AY543"/>
  <c r="BC6"/>
  <c r="AY457"/>
  <c r="AY122"/>
  <c r="AY302"/>
  <c r="AY389"/>
  <c r="AY269"/>
  <c r="AY550"/>
  <c r="AY294"/>
  <c r="AY178"/>
  <c r="AY326"/>
  <c r="AY381"/>
  <c r="AY49"/>
  <c r="AY361"/>
  <c r="AY106"/>
  <c r="AY104"/>
  <c r="AY88"/>
  <c r="L38" i="9"/>
  <c r="B14" i="66" s="1"/>
  <c r="B1" s="1"/>
  <c r="AY508" i="3"/>
  <c r="AY121"/>
  <c r="BE6"/>
  <c r="AY354"/>
  <c r="AY521"/>
  <c r="AY255"/>
  <c r="AY570"/>
  <c r="AY165"/>
  <c r="AY196"/>
  <c r="BG6"/>
  <c r="AY261"/>
  <c r="AY134"/>
  <c r="AY444"/>
  <c r="AY312"/>
  <c r="AY460"/>
  <c r="AY54"/>
  <c r="AY451"/>
  <c r="AY568"/>
  <c r="AY488"/>
  <c r="AY566"/>
  <c r="AY18"/>
  <c r="AY228"/>
  <c r="AY423"/>
  <c r="AY260"/>
  <c r="BM6"/>
  <c r="AY252"/>
  <c r="AY205"/>
  <c r="AY362"/>
  <c r="AY421"/>
  <c r="AY125"/>
  <c r="AY313"/>
  <c r="AY512"/>
  <c r="AY56"/>
  <c r="AY410"/>
  <c r="AY387"/>
  <c r="AY192"/>
  <c r="AY113"/>
  <c r="AY436"/>
  <c r="AY276"/>
  <c r="AY84"/>
  <c r="AY133"/>
  <c r="AY357"/>
  <c r="AY68"/>
  <c r="AY563"/>
  <c r="AY17"/>
  <c r="AY505"/>
  <c r="AY484"/>
  <c r="AY540"/>
  <c r="AY390"/>
  <c r="AY222"/>
  <c r="BF6"/>
  <c r="AY186"/>
  <c r="AY325"/>
  <c r="AY66"/>
  <c r="AY519"/>
  <c r="AY461"/>
  <c r="AY527"/>
  <c r="AY140"/>
  <c r="AY552"/>
  <c r="AY407"/>
  <c r="AY498"/>
  <c r="AY127"/>
  <c r="AY303"/>
  <c r="AY406"/>
  <c r="AY562"/>
  <c r="AY22"/>
  <c r="AY162"/>
  <c r="AY561"/>
  <c r="AY147"/>
  <c r="AY318"/>
  <c r="AY288"/>
  <c r="AY44"/>
  <c r="AY356"/>
  <c r="AY176"/>
  <c r="AY392"/>
  <c r="AY309"/>
  <c r="AY218"/>
  <c r="AY34"/>
  <c r="AY42"/>
  <c r="AY526"/>
  <c r="AY428"/>
  <c r="AY431"/>
  <c r="AY86"/>
  <c r="BH6"/>
  <c r="AY465"/>
  <c r="AY321"/>
  <c r="AY76"/>
  <c r="AY197"/>
  <c r="AY341"/>
  <c r="AY25"/>
  <c r="AY337"/>
  <c r="AY183"/>
  <c r="AY123"/>
  <c r="AY374"/>
  <c r="AY117"/>
  <c r="AY408"/>
  <c r="AY333"/>
  <c r="AY246"/>
  <c r="AY36"/>
  <c r="AY52"/>
  <c r="AY516"/>
  <c r="AY236"/>
  <c r="AY528"/>
  <c r="AY352"/>
  <c r="AY336"/>
  <c r="AY438"/>
  <c r="AY279"/>
  <c r="AY342"/>
  <c r="AY81"/>
  <c r="AY256"/>
  <c r="AY548"/>
  <c r="AY366"/>
  <c r="AY116"/>
  <c r="AY476"/>
  <c r="AY214"/>
  <c r="AY170"/>
  <c r="AY427"/>
  <c r="AY217"/>
  <c r="AY53"/>
  <c r="AY26"/>
  <c r="D45" i="9"/>
  <c r="AY448" i="3"/>
  <c r="AY349"/>
  <c r="AY232"/>
  <c r="AY262"/>
  <c r="AY136"/>
  <c r="AY57"/>
  <c r="AY144"/>
  <c r="AY73"/>
  <c r="AY537"/>
  <c r="AY77"/>
  <c r="AY142"/>
  <c r="AY198"/>
  <c r="AY109"/>
  <c r="AY97"/>
  <c r="AY87"/>
  <c r="D3" i="6"/>
  <c r="D19" s="1"/>
  <c r="AY486" i="3"/>
  <c r="AY82"/>
  <c r="AY80"/>
  <c r="AY37"/>
  <c r="AY67"/>
  <c r="AY41"/>
  <c r="AY58"/>
  <c r="AY203"/>
  <c r="AY159"/>
  <c r="AY128"/>
  <c r="AY179"/>
  <c r="AY95"/>
  <c r="AY105"/>
  <c r="AY504"/>
  <c r="AY100"/>
  <c r="AY83"/>
  <c r="AY47"/>
  <c r="AY182"/>
  <c r="AY126"/>
  <c r="AY45"/>
  <c r="AY31"/>
  <c r="AY175"/>
  <c r="AY118"/>
  <c r="AY277"/>
  <c r="AY234"/>
  <c r="AY264"/>
  <c r="AY209"/>
  <c r="AY384"/>
  <c r="AY317"/>
  <c r="AY467"/>
  <c r="AY416"/>
  <c r="AY425"/>
  <c r="AY402"/>
  <c r="AY479"/>
  <c r="AY55"/>
  <c r="AY202"/>
  <c r="AY181"/>
  <c r="AY139"/>
  <c r="AY250"/>
  <c r="AY286"/>
  <c r="AY343"/>
  <c r="AY364"/>
  <c r="AY560"/>
  <c r="AY398"/>
  <c r="AY65"/>
  <c r="AY70"/>
  <c r="AY141"/>
  <c r="AY169"/>
  <c r="AY265"/>
  <c r="AY238"/>
  <c r="AY310"/>
  <c r="AY348"/>
  <c r="AY350"/>
  <c r="BK6"/>
  <c r="AY459"/>
  <c r="AY72"/>
  <c r="AY50"/>
  <c r="AY115"/>
  <c r="AY226"/>
  <c r="AY241"/>
  <c r="AY346"/>
  <c r="AY435"/>
  <c r="AY400"/>
  <c r="AY30"/>
  <c r="AY161"/>
  <c r="AY230"/>
  <c r="AY340"/>
  <c r="AY542"/>
  <c r="AY101"/>
  <c r="AY132"/>
  <c r="AY272"/>
  <c r="AY382"/>
  <c r="AY305"/>
  <c r="AY420"/>
  <c r="AY405"/>
  <c r="AY555"/>
  <c r="AY429"/>
  <c r="AY188"/>
  <c r="AY442"/>
  <c r="AY143"/>
  <c r="AY43"/>
  <c r="AY157"/>
  <c r="AY572"/>
  <c r="AY308"/>
  <c r="K7" i="1"/>
  <c r="K16" s="1"/>
  <c r="E27" i="6"/>
  <c r="E31"/>
  <c r="AG6" i="1"/>
  <c r="E48" i="21"/>
  <c r="R49"/>
  <c r="G53"/>
  <c r="H53" s="1"/>
  <c r="G52"/>
  <c r="H52" s="1"/>
  <c r="C7" i="66"/>
  <c r="C8"/>
  <c r="C6"/>
  <c r="D13" i="11"/>
  <c r="C13" s="1"/>
  <c r="M28" i="46"/>
  <c r="N28"/>
  <c r="G20" s="1"/>
  <c r="B40" i="1"/>
  <c r="F24" i="15" s="1"/>
  <c r="C24" s="1"/>
  <c r="F17" i="11"/>
  <c r="C17" s="1"/>
  <c r="S5" i="46"/>
  <c r="S2"/>
  <c r="S3"/>
  <c r="S7"/>
  <c r="S6"/>
  <c r="S4"/>
  <c r="M14" i="1"/>
  <c r="D21" i="6"/>
  <c r="D6"/>
  <c r="D20"/>
  <c r="F44" i="9"/>
  <c r="E68" i="39"/>
  <c r="D26" i="6"/>
  <c r="D9"/>
  <c r="E44" i="9"/>
  <c r="K70" i="39"/>
  <c r="J72"/>
  <c r="G52" i="37"/>
  <c r="H7" i="34"/>
  <c r="J7"/>
  <c r="R49" i="33"/>
  <c r="E48"/>
  <c r="G48" i="35"/>
  <c r="G52" i="33"/>
  <c r="H52" s="1"/>
  <c r="G53"/>
  <c r="H53" s="1"/>
  <c r="I65" i="40"/>
  <c r="H67"/>
  <c r="F46" i="36"/>
  <c r="G46" s="1"/>
  <c r="H46" s="1"/>
  <c r="I46" s="1"/>
  <c r="J46" s="1"/>
  <c r="K46" s="1"/>
  <c r="L46" s="1"/>
  <c r="M46" s="1"/>
  <c r="N46" s="1"/>
  <c r="O46" s="1"/>
  <c r="F7"/>
  <c r="F7" i="34"/>
  <c r="C115" i="46"/>
  <c r="D113" s="1"/>
  <c r="J28" i="44"/>
  <c r="J31" s="1"/>
  <c r="J26"/>
  <c r="J20"/>
  <c r="C52" i="15"/>
  <c r="C47" s="1"/>
  <c r="J26"/>
  <c r="J24"/>
  <c r="J18"/>
  <c r="M29" i="44"/>
  <c r="F41" i="15"/>
  <c r="M27"/>
  <c r="D8" i="6" l="1"/>
  <c r="D16" s="1"/>
  <c r="D23"/>
  <c r="D25"/>
  <c r="E63" i="40"/>
  <c r="F46" i="9"/>
  <c r="D5" i="6"/>
  <c r="D22"/>
  <c r="E46" i="9"/>
  <c r="D29" i="6"/>
  <c r="D30" s="1"/>
  <c r="D11"/>
  <c r="K38" i="9"/>
  <c r="C14" i="66" s="1"/>
  <c r="B2" s="1"/>
  <c r="E45" i="9"/>
  <c r="D14" i="6"/>
  <c r="D10"/>
  <c r="C22" i="4"/>
  <c r="D15" i="6"/>
  <c r="D12"/>
  <c r="D24"/>
  <c r="F45" i="9"/>
  <c r="D28" i="6"/>
  <c r="D13"/>
  <c r="K20"/>
  <c r="K26"/>
  <c r="M26" s="1"/>
  <c r="I26" s="1"/>
  <c r="K22"/>
  <c r="M22" s="1"/>
  <c r="I22" s="1"/>
  <c r="K23"/>
  <c r="M23" s="1"/>
  <c r="I23" s="1"/>
  <c r="K21"/>
  <c r="M21" s="1"/>
  <c r="I21" s="1"/>
  <c r="K24"/>
  <c r="M24" s="1"/>
  <c r="I24" s="1"/>
  <c r="K25"/>
  <c r="M25" s="1"/>
  <c r="I25" s="1"/>
  <c r="K19"/>
  <c r="H16" i="1"/>
  <c r="Q16"/>
  <c r="AP16"/>
  <c r="F22" i="11" s="1"/>
  <c r="M7" i="1"/>
  <c r="O7" s="1"/>
  <c r="P7" s="1"/>
  <c r="G16"/>
  <c r="F68" i="15"/>
  <c r="J29"/>
  <c r="C48" i="21"/>
  <c r="C49"/>
  <c r="B3" s="1"/>
  <c r="B2" s="1"/>
  <c r="E53"/>
  <c r="F53" s="1"/>
  <c r="I53"/>
  <c r="J53" s="1"/>
  <c r="E52"/>
  <c r="F52" s="1"/>
  <c r="C20" i="46"/>
  <c r="F29" i="69" s="1"/>
  <c r="G29" s="1"/>
  <c r="E41" i="46"/>
  <c r="C41" s="1"/>
  <c r="F30" i="69" s="1"/>
  <c r="F21" i="43"/>
  <c r="C23" s="1"/>
  <c r="D21" s="1"/>
  <c r="F26" i="12"/>
  <c r="C27" s="1"/>
  <c r="D26" s="1"/>
  <c r="C32" s="1"/>
  <c r="D30" s="1"/>
  <c r="F26" i="44"/>
  <c r="C26" s="1"/>
  <c r="D27" i="6"/>
  <c r="D7" i="66"/>
  <c r="D6"/>
  <c r="D8"/>
  <c r="A6" i="51"/>
  <c r="B7" i="63" s="1"/>
  <c r="A6" i="64"/>
  <c r="A20"/>
  <c r="A20" i="51"/>
  <c r="B15" i="63" s="1"/>
  <c r="N5" i="54"/>
  <c r="B43" i="63" s="1"/>
  <c r="O14" i="1"/>
  <c r="AA7" i="36"/>
  <c r="R36" s="1"/>
  <c r="S7"/>
  <c r="H48" i="35"/>
  <c r="E52" i="33"/>
  <c r="F52" s="1"/>
  <c r="E53"/>
  <c r="F53" s="1"/>
  <c r="I53"/>
  <c r="J53" s="1"/>
  <c r="W7" i="34"/>
  <c r="AC7"/>
  <c r="V49" s="1"/>
  <c r="I49" s="1"/>
  <c r="S7"/>
  <c r="AA7"/>
  <c r="R49" s="1"/>
  <c r="J65" i="40"/>
  <c r="I67"/>
  <c r="H7" i="36"/>
  <c r="C49" i="33"/>
  <c r="B3" s="1"/>
  <c r="B2" s="1"/>
  <c r="C48"/>
  <c r="AB7" i="34"/>
  <c r="T49" s="1"/>
  <c r="G49" s="1"/>
  <c r="U7"/>
  <c r="H52" i="37"/>
  <c r="L70" i="39"/>
  <c r="K72"/>
  <c r="J7" i="36"/>
  <c r="C59" i="15"/>
  <c r="C65"/>
  <c r="Q49" i="44"/>
  <c r="Q55" s="1"/>
  <c r="Q67"/>
  <c r="Q58"/>
  <c r="M16" i="1" l="1"/>
  <c r="N16" s="1"/>
  <c r="C29" i="43" s="1"/>
  <c r="O16" i="1"/>
  <c r="C29" i="46"/>
  <c r="C3" i="69" s="1"/>
  <c r="H12" i="39"/>
  <c r="H12" i="40"/>
  <c r="J12" i="39"/>
  <c r="J12" i="40"/>
  <c r="F12" i="39"/>
  <c r="F12" i="40"/>
  <c r="S25" i="6"/>
  <c r="H25"/>
  <c r="R25" s="1"/>
  <c r="S21"/>
  <c r="H21"/>
  <c r="R21" s="1"/>
  <c r="S22"/>
  <c r="H22"/>
  <c r="R22" s="1"/>
  <c r="M20"/>
  <c r="I20" s="1"/>
  <c r="S7" i="1"/>
  <c r="F18" i="11"/>
  <c r="C18" s="1"/>
  <c r="C19" s="1"/>
  <c r="C20" s="1"/>
  <c r="C21" s="1"/>
  <c r="C22" s="1"/>
  <c r="C23" s="1"/>
  <c r="B2" s="1"/>
  <c r="F24" i="43"/>
  <c r="C26" s="1"/>
  <c r="D24" s="1"/>
  <c r="S6" i="1"/>
  <c r="M19" i="6"/>
  <c r="K27"/>
  <c r="S24"/>
  <c r="H24"/>
  <c r="R24" s="1"/>
  <c r="S23"/>
  <c r="H23"/>
  <c r="R23" s="1"/>
  <c r="S26"/>
  <c r="H26"/>
  <c r="R26" s="1"/>
  <c r="C39" i="46"/>
  <c r="C5" i="69" s="1"/>
  <c r="C37" i="46"/>
  <c r="G37" s="1"/>
  <c r="I37" s="1"/>
  <c r="T11"/>
  <c r="V11" s="1"/>
  <c r="T9"/>
  <c r="V9" s="1"/>
  <c r="C36"/>
  <c r="E36" s="1"/>
  <c r="T8"/>
  <c r="V8" s="1"/>
  <c r="T15"/>
  <c r="V15" s="1"/>
  <c r="T3"/>
  <c r="V3" s="1"/>
  <c r="T7"/>
  <c r="V7" s="1"/>
  <c r="C33"/>
  <c r="E33" s="1"/>
  <c r="C38"/>
  <c r="T10"/>
  <c r="V10" s="1"/>
  <c r="T13"/>
  <c r="V13" s="1"/>
  <c r="T12"/>
  <c r="V12" s="1"/>
  <c r="T14"/>
  <c r="V14" s="1"/>
  <c r="T16"/>
  <c r="V16" s="1"/>
  <c r="C35"/>
  <c r="E35" s="1"/>
  <c r="T5"/>
  <c r="V5" s="1"/>
  <c r="T6"/>
  <c r="V6" s="1"/>
  <c r="T2"/>
  <c r="V2" s="1"/>
  <c r="T4"/>
  <c r="V4" s="1"/>
  <c r="C34"/>
  <c r="E34" s="1"/>
  <c r="P14" i="1"/>
  <c r="P16" s="1"/>
  <c r="D31" i="6"/>
  <c r="I6" s="1"/>
  <c r="L16" i="1"/>
  <c r="W7" i="36"/>
  <c r="AC7"/>
  <c r="V36" s="1"/>
  <c r="I36" s="1"/>
  <c r="K65" i="40"/>
  <c r="J67"/>
  <c r="I52" i="37"/>
  <c r="G54" i="34"/>
  <c r="H54" s="1"/>
  <c r="G53"/>
  <c r="H53" s="1"/>
  <c r="R50"/>
  <c r="E49"/>
  <c r="I54" s="1"/>
  <c r="J54" s="1"/>
  <c r="I53"/>
  <c r="J53" s="1"/>
  <c r="M70" i="39"/>
  <c r="L72"/>
  <c r="AB7" i="36"/>
  <c r="T36" s="1"/>
  <c r="G36" s="1"/>
  <c r="U7"/>
  <c r="I48" i="35"/>
  <c r="E36" i="36"/>
  <c r="R37"/>
  <c r="C19" i="44"/>
  <c r="D16" i="12"/>
  <c r="C17" i="15"/>
  <c r="D22" i="12"/>
  <c r="C13" i="43" l="1"/>
  <c r="C14" s="1"/>
  <c r="C30" i="46"/>
  <c r="E30" s="1"/>
  <c r="G39"/>
  <c r="I39" s="1"/>
  <c r="E29"/>
  <c r="D19" i="12"/>
  <c r="C19" s="1"/>
  <c r="C16"/>
  <c r="C22"/>
  <c r="C20" s="1"/>
  <c r="I19" i="6"/>
  <c r="M27"/>
  <c r="S16" i="1"/>
  <c r="T7"/>
  <c r="AA12" i="40"/>
  <c r="S12"/>
  <c r="W12"/>
  <c r="AC12"/>
  <c r="U12"/>
  <c r="AB12"/>
  <c r="T6" i="1"/>
  <c r="B3" i="11"/>
  <c r="B5"/>
  <c r="B4"/>
  <c r="S20" i="6"/>
  <c r="H20"/>
  <c r="R20" s="1"/>
  <c r="R7" i="1" s="1"/>
  <c r="S12" i="39"/>
  <c r="AA12"/>
  <c r="W12"/>
  <c r="AC12"/>
  <c r="AB12"/>
  <c r="U12"/>
  <c r="E37" i="46"/>
  <c r="E39"/>
  <c r="G30" i="69"/>
  <c r="G36" i="46"/>
  <c r="I36" s="1"/>
  <c r="G35"/>
  <c r="I35" s="1"/>
  <c r="G33"/>
  <c r="I33" s="1"/>
  <c r="E38"/>
  <c r="G38"/>
  <c r="I38" s="1"/>
  <c r="G34"/>
  <c r="I34" s="1"/>
  <c r="I5" i="6"/>
  <c r="C17" i="43"/>
  <c r="E40" i="36"/>
  <c r="F40" s="1"/>
  <c r="E41"/>
  <c r="F41" s="1"/>
  <c r="J48" i="35"/>
  <c r="G41" i="36"/>
  <c r="H41" s="1"/>
  <c r="G40"/>
  <c r="H40" s="1"/>
  <c r="N70" i="39"/>
  <c r="N72" s="1"/>
  <c r="M72"/>
  <c r="F9" s="1"/>
  <c r="E54" i="34"/>
  <c r="F54" s="1"/>
  <c r="E53"/>
  <c r="F53" s="1"/>
  <c r="I40" i="36"/>
  <c r="J40" s="1"/>
  <c r="I41"/>
  <c r="J41" s="1"/>
  <c r="C37"/>
  <c r="B3" s="1"/>
  <c r="B2" s="1"/>
  <c r="C36"/>
  <c r="C50" i="34"/>
  <c r="C49"/>
  <c r="U6" i="1" s="1"/>
  <c r="J52" i="37"/>
  <c r="L65" i="40"/>
  <c r="K67"/>
  <c r="F8" i="44"/>
  <c r="C16"/>
  <c r="C14" i="15"/>
  <c r="F7" i="67"/>
  <c r="C13" i="12"/>
  <c r="F6" i="15"/>
  <c r="C17" i="44" l="1"/>
  <c r="C20"/>
  <c r="C15" i="15"/>
  <c r="C18"/>
  <c r="C14" i="12"/>
  <c r="C17"/>
  <c r="T13" i="1"/>
  <c r="T9"/>
  <c r="T12"/>
  <c r="T11"/>
  <c r="T10"/>
  <c r="T8"/>
  <c r="T16" s="1"/>
  <c r="I27" i="6"/>
  <c r="H19"/>
  <c r="S19"/>
  <c r="S27" s="1"/>
  <c r="C6" i="15"/>
  <c r="C10" s="1"/>
  <c r="C5" s="1"/>
  <c r="C8" i="44"/>
  <c r="C12" s="1"/>
  <c r="C7" s="1"/>
  <c r="C26" i="46"/>
  <c r="B2" s="1"/>
  <c r="B3" s="1"/>
  <c r="B3" i="34"/>
  <c r="B2" s="1"/>
  <c r="C27" i="46"/>
  <c r="E4" i="67"/>
  <c r="C18" i="43"/>
  <c r="C19" s="1"/>
  <c r="C25" s="1"/>
  <c r="C24" s="1"/>
  <c r="S9" i="39"/>
  <c r="AA9"/>
  <c r="R49" s="1"/>
  <c r="L67" i="40"/>
  <c r="M65"/>
  <c r="H9" i="39"/>
  <c r="J9"/>
  <c r="K48" i="35"/>
  <c r="L48" s="1"/>
  <c r="M48" s="1"/>
  <c r="N48" s="1"/>
  <c r="O48" s="1"/>
  <c r="J7"/>
  <c r="K52" i="37"/>
  <c r="E7" i="67"/>
  <c r="C20" i="9"/>
  <c r="C19"/>
  <c r="B7" i="67"/>
  <c r="C21" i="44" l="1"/>
  <c r="C22" s="1"/>
  <c r="C25" s="1"/>
  <c r="C19" i="15"/>
  <c r="C20" s="1"/>
  <c r="C26" s="1"/>
  <c r="R19" i="6"/>
  <c r="H27"/>
  <c r="C18" i="12"/>
  <c r="C23" s="1"/>
  <c r="C34" i="44"/>
  <c r="C40"/>
  <c r="C38" i="15"/>
  <c r="C32"/>
  <c r="L43" i="9"/>
  <c r="D4" i="46"/>
  <c r="E3" i="67"/>
  <c r="B4" i="46"/>
  <c r="B2" i="67"/>
  <c r="B4" s="1"/>
  <c r="C22" i="43"/>
  <c r="C21" s="1"/>
  <c r="C28" s="1"/>
  <c r="C30" s="1"/>
  <c r="C32" s="1"/>
  <c r="B2" s="1"/>
  <c r="AC7" i="35"/>
  <c r="V38" s="1"/>
  <c r="I38" s="1"/>
  <c r="W7"/>
  <c r="AC9" i="39"/>
  <c r="V49" s="1"/>
  <c r="I49" s="1"/>
  <c r="W9"/>
  <c r="N65" i="40"/>
  <c r="N67" s="1"/>
  <c r="M67"/>
  <c r="L52" i="37"/>
  <c r="F7" i="35"/>
  <c r="H7"/>
  <c r="AB9" i="39"/>
  <c r="T49" s="1"/>
  <c r="G49" s="1"/>
  <c r="U9"/>
  <c r="E49"/>
  <c r="R50"/>
  <c r="C21" i="9"/>
  <c r="L52" i="44"/>
  <c r="C28" l="1"/>
  <c r="C31" s="1"/>
  <c r="C23" i="15"/>
  <c r="C29" s="1"/>
  <c r="R6" i="1"/>
  <c r="R27" i="6"/>
  <c r="L58" i="44"/>
  <c r="L61" s="1"/>
  <c r="Q69"/>
  <c r="B3" i="67"/>
  <c r="B4" i="43"/>
  <c r="B5"/>
  <c r="B3"/>
  <c r="AB7" i="35"/>
  <c r="T38" s="1"/>
  <c r="G38" s="1"/>
  <c r="U7"/>
  <c r="C50" i="39"/>
  <c r="C49"/>
  <c r="E53"/>
  <c r="F53" s="1"/>
  <c r="E54"/>
  <c r="F54" s="1"/>
  <c r="G54"/>
  <c r="H54" s="1"/>
  <c r="G53"/>
  <c r="H53" s="1"/>
  <c r="AA7" i="35"/>
  <c r="R38" s="1"/>
  <c r="S7"/>
  <c r="M52" i="37"/>
  <c r="J9" i="40"/>
  <c r="F9"/>
  <c r="H9"/>
  <c r="I53" i="39"/>
  <c r="J53" s="1"/>
  <c r="I54"/>
  <c r="J54" s="1"/>
  <c r="I42" i="35"/>
  <c r="J42" s="1"/>
  <c r="M23" i="44"/>
  <c r="F35" i="15"/>
  <c r="F37" i="44"/>
  <c r="M21" i="15"/>
  <c r="Q51" i="44" l="1"/>
  <c r="C35"/>
  <c r="C15"/>
  <c r="J21"/>
  <c r="C38"/>
  <c r="J16"/>
  <c r="C36" i="15"/>
  <c r="J59"/>
  <c r="J60" s="1"/>
  <c r="Q49" s="1"/>
  <c r="C33"/>
  <c r="Q50"/>
  <c r="J14"/>
  <c r="C13"/>
  <c r="C56"/>
  <c r="J19"/>
  <c r="C34"/>
  <c r="F62"/>
  <c r="C61" s="1"/>
  <c r="C36" i="44"/>
  <c r="J20" i="15"/>
  <c r="J22" i="44"/>
  <c r="R16" i="1"/>
  <c r="L47" i="44"/>
  <c r="Q68"/>
  <c r="Q77" s="1"/>
  <c r="Q59"/>
  <c r="Q64" s="1"/>
  <c r="S9" i="40"/>
  <c r="AA9"/>
  <c r="R44" s="1"/>
  <c r="U9"/>
  <c r="AB9"/>
  <c r="T44" s="1"/>
  <c r="G44" s="1"/>
  <c r="W9"/>
  <c r="AC9"/>
  <c r="V44" s="1"/>
  <c r="I44" s="1"/>
  <c r="N52" i="37"/>
  <c r="O52" s="1"/>
  <c r="F7"/>
  <c r="R39" i="35"/>
  <c r="E38"/>
  <c r="B61" i="39"/>
  <c r="F61" s="1"/>
  <c r="B62"/>
  <c r="F62" s="1"/>
  <c r="B59"/>
  <c r="F59" s="1"/>
  <c r="B64"/>
  <c r="F64" s="1"/>
  <c r="B67"/>
  <c r="F67" s="1"/>
  <c r="B65"/>
  <c r="F65" s="1"/>
  <c r="B66"/>
  <c r="F66" s="1"/>
  <c r="B60"/>
  <c r="F60" s="1"/>
  <c r="B58"/>
  <c r="F58" s="1"/>
  <c r="F68" s="1"/>
  <c r="B2" s="1"/>
  <c r="B63"/>
  <c r="F63" s="1"/>
  <c r="G42" i="35"/>
  <c r="H42" s="1"/>
  <c r="G43"/>
  <c r="H43" s="1"/>
  <c r="J17" i="15" l="1"/>
  <c r="C31"/>
  <c r="J19" i="44"/>
  <c r="C33"/>
  <c r="C39"/>
  <c r="Q72"/>
  <c r="C43"/>
  <c r="J24"/>
  <c r="J15"/>
  <c r="J25" s="1"/>
  <c r="J35" i="15"/>
  <c r="Q71"/>
  <c r="C37"/>
  <c r="C55"/>
  <c r="C64" s="1"/>
  <c r="C60"/>
  <c r="C58" s="1"/>
  <c r="C63"/>
  <c r="J13"/>
  <c r="J23" s="1"/>
  <c r="J22"/>
  <c r="L57"/>
  <c r="L60" s="1"/>
  <c r="Q58" s="1"/>
  <c r="AA7" i="37"/>
  <c r="R42" s="1"/>
  <c r="S7"/>
  <c r="I48" i="40"/>
  <c r="J48" s="1"/>
  <c r="G48"/>
  <c r="H48" s="1"/>
  <c r="G49"/>
  <c r="H49" s="1"/>
  <c r="E44"/>
  <c r="I49" s="1"/>
  <c r="J49" s="1"/>
  <c r="R45"/>
  <c r="B3" i="39"/>
  <c r="B5"/>
  <c r="B4"/>
  <c r="E43" i="35"/>
  <c r="F43" s="1"/>
  <c r="E42"/>
  <c r="F42" s="1"/>
  <c r="I43"/>
  <c r="J43" s="1"/>
  <c r="C39"/>
  <c r="B3" s="1"/>
  <c r="B2" s="1"/>
  <c r="C38"/>
  <c r="H7" i="37"/>
  <c r="J7"/>
  <c r="C30" i="15" l="1"/>
  <c r="C39" s="1"/>
  <c r="J39" s="1"/>
  <c r="J40" s="1"/>
  <c r="C32" i="44"/>
  <c r="C42" s="1"/>
  <c r="Q71" s="1"/>
  <c r="Q70" s="1"/>
  <c r="J18"/>
  <c r="J27" s="1"/>
  <c r="C57" i="15"/>
  <c r="C66" s="1"/>
  <c r="C67" s="1"/>
  <c r="C70"/>
  <c r="J16"/>
  <c r="J25" s="1"/>
  <c r="L46"/>
  <c r="Q67"/>
  <c r="W7" i="37"/>
  <c r="AC7"/>
  <c r="V42" s="1"/>
  <c r="I42" s="1"/>
  <c r="C45" i="40"/>
  <c r="C44"/>
  <c r="AB7" i="37"/>
  <c r="T42" s="1"/>
  <c r="G42" s="1"/>
  <c r="U7"/>
  <c r="E48" i="40"/>
  <c r="F48" s="1"/>
  <c r="E49"/>
  <c r="F49" s="1"/>
  <c r="E42" i="37"/>
  <c r="R43"/>
  <c r="L51" i="15"/>
  <c r="Q68" l="1"/>
  <c r="C40"/>
  <c r="C46" s="1"/>
  <c r="Q70"/>
  <c r="Q69" s="1"/>
  <c r="C44" i="44"/>
  <c r="C45" s="1"/>
  <c r="B2" s="1"/>
  <c r="B3" s="1"/>
  <c r="C43" i="37"/>
  <c r="B3" s="1"/>
  <c r="B2" s="1"/>
  <c r="C42"/>
  <c r="I46"/>
  <c r="J46" s="1"/>
  <c r="I47"/>
  <c r="J47" s="1"/>
  <c r="E47"/>
  <c r="F47" s="1"/>
  <c r="E46"/>
  <c r="F46" s="1"/>
  <c r="G46"/>
  <c r="H46" s="1"/>
  <c r="G47"/>
  <c r="H47" s="1"/>
  <c r="B61" i="40"/>
  <c r="F61" s="1"/>
  <c r="B53"/>
  <c r="F53" s="1"/>
  <c r="B58"/>
  <c r="F58" s="1"/>
  <c r="B57"/>
  <c r="F57" s="1"/>
  <c r="B59"/>
  <c r="F59" s="1"/>
  <c r="F63"/>
  <c r="B2" s="1"/>
  <c r="B54"/>
  <c r="F54" s="1"/>
  <c r="B56"/>
  <c r="F56" s="1"/>
  <c r="B55"/>
  <c r="F55" s="1"/>
  <c r="B60"/>
  <c r="F60" s="1"/>
  <c r="B62"/>
  <c r="F62" s="1"/>
  <c r="C43" i="15" l="1"/>
  <c r="C10" i="12"/>
  <c r="Q48" i="15"/>
  <c r="Q54" s="1"/>
  <c r="B2"/>
  <c r="B3" s="1"/>
  <c r="C8" i="12" s="1"/>
  <c r="Q66" i="15"/>
  <c r="Q76" s="1"/>
  <c r="J42"/>
  <c r="J43" s="1"/>
  <c r="Q57"/>
  <c r="Q63" s="1"/>
  <c r="B4" i="44"/>
  <c r="B5"/>
  <c r="B5" i="40"/>
  <c r="B4"/>
  <c r="B3"/>
  <c r="C6" i="12" l="1"/>
  <c r="C24" l="1"/>
  <c r="C29"/>
  <c r="C35" l="1"/>
  <c r="C33" s="1"/>
  <c r="C28"/>
  <c r="C26" s="1"/>
  <c r="C31" s="1"/>
  <c r="C30" s="1"/>
  <c r="C36" l="1"/>
  <c r="B2" s="1"/>
  <c r="D19" i="9"/>
  <c r="B3" i="12"/>
  <c r="B5"/>
  <c r="B4"/>
  <c r="D21" i="9" s="1"/>
  <c r="D20"/>
  <c r="G20" l="1"/>
  <c r="G21"/>
  <c r="C4" i="69"/>
  <c r="L44" i="9"/>
  <c r="D22"/>
  <c r="G19"/>
  <c r="C32" s="1"/>
  <c r="C6" i="69"/>
  <c r="E5" s="1"/>
  <c r="G4"/>
  <c r="G3"/>
  <c r="E3"/>
  <c r="G22" i="9"/>
  <c r="N43" l="1"/>
  <c r="F5" i="69"/>
  <c r="D22" s="1"/>
  <c r="D14"/>
  <c r="C33" i="9"/>
  <c r="C34"/>
  <c r="C42"/>
  <c r="O38"/>
  <c r="O43"/>
  <c r="C35"/>
  <c r="F42" s="1"/>
  <c r="D13" i="69"/>
  <c r="F3"/>
  <c r="D21" s="1"/>
  <c r="E13" l="1"/>
  <c r="F13"/>
  <c r="R5" i="54"/>
  <c r="B48" i="63" s="1"/>
  <c r="D14" i="66"/>
  <c r="N68" i="9"/>
  <c r="D63"/>
  <c r="E22" i="69"/>
  <c r="D30"/>
  <c r="E21"/>
  <c r="E23" s="1"/>
  <c r="D29"/>
  <c r="K26" i="9"/>
  <c r="K25"/>
  <c r="E14" i="69"/>
  <c r="F14"/>
  <c r="D42" i="9"/>
  <c r="Q5" i="54" s="1"/>
  <c r="B47" i="63" s="1"/>
  <c r="N38" i="9"/>
  <c r="K28" s="1"/>
  <c r="M38"/>
  <c r="K27" s="1"/>
  <c r="E42"/>
  <c r="P5" i="54" s="1"/>
  <c r="B46" i="63" s="1"/>
  <c r="H29" i="69" l="1"/>
  <c r="H31" s="1"/>
  <c r="E29"/>
  <c r="C82" i="9"/>
  <c r="C81" s="1"/>
  <c r="C85" s="1"/>
  <c r="C86" s="1"/>
  <c r="D72" s="1"/>
  <c r="C96"/>
  <c r="C91" s="1"/>
  <c r="C90"/>
  <c r="C97" s="1"/>
  <c r="C98" s="1"/>
  <c r="E98" s="1"/>
  <c r="E99" s="1"/>
  <c r="C111"/>
  <c r="C104" s="1"/>
  <c r="D70"/>
  <c r="D77"/>
  <c r="N75" s="1"/>
  <c r="C103"/>
  <c r="C113" s="1"/>
  <c r="D71"/>
  <c r="D66" s="1"/>
  <c r="N72" s="1"/>
  <c r="H30" i="69"/>
  <c r="E30"/>
  <c r="E14" i="66"/>
  <c r="B5"/>
  <c r="F14"/>
  <c r="E15" i="69"/>
  <c r="C5" i="66" l="1"/>
  <c r="D5"/>
  <c r="C114" i="9"/>
  <c r="E114" s="1"/>
  <c r="E115" s="1"/>
  <c r="C99"/>
  <c r="C115" l="1"/>
  <c r="D76" s="1"/>
  <c r="D74" s="1"/>
  <c r="N74" s="1"/>
  <c r="O77" s="1"/>
  <c r="Q77" l="1"/>
  <c r="O78"/>
  <c r="O79"/>
  <c r="O80" l="1"/>
  <c r="O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<sst xmlns="http://schemas.openxmlformats.org/spreadsheetml/2006/main" count="7009" uniqueCount="3109">
  <si>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</si>
  <si>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</si>
  <si>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</si>
  <si>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</si>
  <si>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</si>
  <si>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</si>
  <si>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</si>
  <si>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</si>
  <si>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</si>
  <si>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</si>
  <si>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</si>
  <si>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</si>
  <si>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</si>
  <si>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</si>
  <si>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</si>
  <si>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</si>
  <si>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</si>
  <si>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</si>
  <si>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</si>
  <si>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</si>
  <si>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</si>
  <si>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</si>
  <si>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</si>
  <si>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</si>
  <si>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</si>
  <si>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</si>
  <si>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</si>
  <si>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</si>
  <si>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</si>
  <si>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</si>
  <si>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</si>
  <si>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</si>
  <si>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</si>
  <si>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</si>
  <si>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</si>
  <si>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</si>
  <si>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</si>
  <si>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</si>
  <si>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</si>
  <si>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</si>
  <si>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</si>
  <si>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</si>
  <si>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</si>
  <si>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</si>
  <si>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</si>
  <si>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</si>
  <si>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</si>
  <si>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</si>
  <si>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</si>
  <si>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</si>
  <si>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</si>
  <si>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</si>
  <si>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</si>
  <si>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</si>
  <si>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</si>
  <si>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</si>
  <si>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</si>
  <si>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</si>
  <si>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</si>
  <si>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</si>
  <si>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</si>
  <si>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</si>
  <si>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</si>
  <si>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</si>
  <si>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</si>
  <si>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</si>
  <si>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</si>
  <si>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</si>
  <si>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</si>
  <si>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</si>
  <si>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</si>
  <si>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</si>
  <si>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</si>
  <si>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</si>
  <si>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</si>
  <si>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</si>
  <si>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</si>
  <si>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</si>
  <si>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</si>
  <si>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</si>
  <si>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</si>
  <si>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</si>
  <si>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</si>
  <si>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</si>
  <si>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</si>
  <si>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</si>
  <si>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</si>
  <si>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</si>
  <si>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</si>
  <si>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</si>
  <si>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</si>
  <si>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</si>
  <si>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</si>
  <si>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</si>
  <si>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</si>
  <si>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</si>
  <si>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</si>
  <si>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</si>
  <si>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</si>
  <si>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</si>
  <si>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</si>
  <si>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</si>
  <si>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</si>
  <si>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</si>
  <si>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</si>
  <si>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</si>
  <si>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</si>
  <si>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</si>
  <si>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</si>
  <si>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</si>
  <si>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</si>
  <si>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</si>
  <si>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</si>
  <si>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</si>
  <si>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</si>
  <si>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</si>
  <si>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</si>
  <si>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</si>
  <si>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</si>
  <si>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</si>
  <si>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</si>
  <si>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</si>
  <si>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</si>
  <si>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</si>
  <si>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</si>
  <si>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</si>
  <si>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</si>
  <si>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</si>
  <si>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</si>
  <si>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</si>
  <si>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</si>
  <si>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</si>
  <si>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</si>
  <si>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</si>
  <si>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</si>
  <si>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</si>
  <si>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</si>
  <si>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</si>
  <si>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</si>
  <si>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</si>
  <si>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</si>
  <si>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</si>
  <si>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</si>
  <si>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</si>
  <si>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</si>
  <si>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</si>
  <si>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</si>
  <si>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</si>
  <si>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</si>
  <si>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</si>
  <si>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</si>
  <si>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</si>
  <si>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</si>
  <si>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</si>
  <si>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</si>
  <si>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</si>
  <si>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</si>
  <si>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</si>
  <si>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</si>
  <si>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</si>
  <si>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</si>
  <si>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</si>
  <si>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</si>
  <si>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</si>
  <si>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</si>
  <si>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</si>
  <si>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</si>
  <si>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</si>
  <si>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</si>
  <si>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</si>
  <si>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</si>
  <si>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</si>
  <si>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</si>
  <si>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</si>
  <si>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</si>
  <si>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</si>
  <si>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</si>
  <si>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</si>
  <si>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</si>
  <si>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</si>
  <si>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</si>
  <si>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</si>
  <si>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</si>
  <si>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</si>
  <si>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</si>
  <si>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</si>
  <si>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</si>
  <si>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</si>
  <si>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</si>
  <si>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</si>
  <si>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</si>
  <si>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</si>
  <si>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</si>
  <si>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</si>
  <si>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</si>
  <si>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</si>
  <si>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</si>
  <si>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</si>
  <si>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</si>
  <si>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</si>
  <si>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</si>
  <si>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</si>
  <si>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</si>
  <si>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</si>
  <si>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</si>
  <si>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</si>
  <si>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</si>
  <si>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</si>
  <si>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</si>
  <si>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</si>
  <si>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</si>
  <si>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</si>
  <si>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</si>
  <si>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</si>
  <si>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</si>
  <si>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</si>
  <si>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</si>
  <si>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</si>
  <si>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</si>
  <si>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</si>
  <si>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</si>
  <si>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</si>
  <si>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</si>
  <si>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</si>
  <si>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</si>
  <si>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</si>
  <si>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</si>
  <si>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</si>
  <si>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</si>
  <si>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</si>
  <si>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</si>
  <si>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</si>
  <si>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</si>
  <si>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</si>
  <si>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</si>
  <si>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</si>
  <si>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</si>
  <si>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</si>
  <si>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</si>
  <si>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</si>
  <si>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</si>
  <si>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</si>
  <si>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</si>
  <si>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</si>
  <si>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</si>
  <si>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</si>
  <si>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</si>
  <si>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</si>
  <si>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</si>
  <si>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</si>
  <si>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</si>
  <si>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</si>
  <si>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</si>
  <si>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</si>
  <si>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</si>
  <si>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</si>
  <si>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</si>
  <si>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</si>
  <si>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</si>
  <si>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</si>
  <si>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</si>
  <si>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</si>
  <si>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</si>
  <si>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</si>
  <si>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</si>
  <si>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</si>
  <si>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</si>
  <si>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</si>
  <si>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</si>
  <si>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</si>
  <si>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</si>
  <si>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</si>
  <si>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</si>
  <si>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</si>
  <si>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</si>
  <si>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</si>
  <si>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</si>
  <si>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</si>
  <si>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</si>
  <si>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</si>
  <si>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</si>
  <si>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</si>
  <si>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</si>
  <si>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</si>
  <si>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</si>
  <si>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</si>
  <si>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</si>
  <si>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</si>
  <si>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</si>
  <si>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</si>
  <si>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</si>
  <si>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</si>
  <si>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</si>
  <si>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</si>
  <si>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</si>
  <si>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</si>
  <si>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</si>
  <si>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</si>
  <si>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</si>
  <si>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</si>
  <si>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</si>
  <si>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</si>
  <si>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</si>
  <si>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</si>
  <si>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</si>
  <si>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</si>
  <si>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</si>
  <si>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</si>
  <si>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</si>
  <si>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</si>
  <si>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</si>
  <si>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</si>
  <si>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</si>
  <si>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</si>
  <si>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</si>
  <si>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</si>
  <si>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</si>
  <si>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</si>
  <si>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</si>
  <si>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</si>
  <si>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</si>
  <si>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</si>
  <si>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</si>
  <si>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</si>
  <si>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</si>
  <si>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</si>
  <si>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</si>
  <si>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</si>
  <si>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</si>
  <si>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</si>
  <si>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</si>
  <si>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</si>
  <si>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</si>
  <si>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</si>
  <si>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</si>
  <si>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</si>
  <si>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</si>
  <si>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</si>
  <si>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</si>
  <si>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</si>
  <si>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</si>
  <si>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</si>
  <si>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</si>
  <si>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</si>
  <si>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</si>
  <si>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</si>
  <si>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</si>
  <si>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</si>
  <si>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</si>
  <si>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</si>
  <si>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</si>
  <si>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</si>
  <si>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</si>
  <si>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</si>
  <si>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</si>
  <si>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</si>
  <si>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</si>
  <si>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</si>
  <si>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</si>
  <si>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</si>
  <si>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</si>
  <si>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</si>
  <si>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</si>
  <si>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</si>
  <si>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</si>
  <si>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</si>
  <si>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</si>
  <si>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</si>
  <si>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</si>
  <si>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</si>
  <si>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</si>
  <si>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</si>
  <si>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</si>
  <si>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</si>
  <si>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</si>
  <si>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</si>
  <si>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</si>
  <si>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</si>
  <si>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</si>
  <si>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</si>
  <si>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</si>
  <si>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</si>
  <si>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</si>
  <si>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</si>
  <si>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</si>
  <si>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</si>
  <si>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</si>
  <si>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</si>
  <si>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</si>
  <si>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</si>
  <si>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</si>
  <si>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</si>
  <si>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</si>
  <si>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</si>
  <si>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</si>
  <si>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</si>
  <si>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</si>
  <si>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</si>
  <si>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</si>
  <si>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</si>
  <si>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</si>
  <si>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</si>
  <si>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</si>
  <si>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</si>
  <si>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</si>
  <si>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</si>
  <si>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</si>
  <si>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</si>
  <si>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</si>
  <si>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</si>
  <si>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</si>
  <si>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</si>
  <si>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</si>
  <si>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</si>
  <si>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</si>
  <si>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</si>
  <si>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</si>
  <si>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</si>
  <si>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</si>
  <si>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</si>
  <si>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</si>
  <si>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</si>
  <si>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</si>
  <si>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</si>
  <si>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</si>
  <si>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</si>
  <si>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</si>
  <si>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</si>
  <si>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</si>
  <si>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</si>
  <si>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</si>
  <si>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</si>
  <si>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</si>
  <si>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</si>
  <si>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</si>
  <si>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</si>
  <si>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</si>
  <si>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</si>
  <si>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</si>
  <si>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</si>
  <si>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</si>
  <si>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</si>
  <si>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</si>
  <si>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</si>
  <si>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</si>
  <si>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</si>
  <si>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</si>
  <si>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</si>
  <si>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</si>
  <si>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</si>
  <si>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</si>
  <si>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</si>
  <si>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</si>
  <si>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</si>
  <si>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</si>
  <si>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</si>
  <si>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</si>
  <si>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</si>
  <si>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</si>
  <si>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</si>
  <si>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</si>
  <si>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</si>
  <si>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</si>
  <si>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</si>
  <si>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</si>
  <si>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</si>
  <si>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</si>
  <si>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</si>
  <si>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</si>
  <si>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</si>
  <si>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</si>
  <si>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</si>
  <si>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</si>
  <si>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</si>
  <si>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</si>
  <si>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</si>
  <si>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</si>
  <si>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</si>
  <si>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</si>
  <si>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</si>
  <si>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</si>
  <si>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</si>
  <si>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</si>
  <si>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</si>
  <si>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</si>
  <si>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</si>
  <si>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</si>
  <si>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</si>
  <si>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</si>
  <si>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</si>
  <si>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</si>
  <si>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</si>
  <si>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</si>
  <si>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</si>
  <si>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</si>
  <si>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</si>
  <si>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</si>
  <si>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</si>
  <si>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</si>
  <si>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</si>
  <si>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</si>
  <si>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</si>
  <si>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</si>
  <si>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</si>
  <si>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</si>
  <si>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</si>
  <si>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</si>
  <si>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</si>
  <si>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</si>
  <si>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</si>
  <si>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</si>
  <si>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</si>
  <si>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</si>
  <si>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</si>
  <si>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</si>
  <si>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</si>
  <si>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</si>
  <si>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</si>
  <si>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</si>
  <si>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</si>
  <si>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</si>
  <si>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</si>
  <si>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</si>
  <si>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</si>
  <si>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</si>
  <si>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</si>
  <si>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</si>
  <si>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</si>
  <si>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</si>
  <si>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</si>
  <si>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</si>
  <si>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</si>
  <si>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</si>
  <si>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</si>
  <si>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</si>
  <si>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</si>
  <si>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</si>
  <si>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</si>
  <si>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</si>
  <si>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</si>
  <si>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</si>
  <si>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</si>
  <si>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</si>
  <si>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</si>
  <si>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</si>
  <si>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</si>
  <si>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</si>
  <si>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</si>
  <si>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</si>
  <si>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</si>
  <si>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</si>
  <si>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</si>
  <si>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</si>
  <si>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</si>
  <si>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</si>
  <si>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</si>
  <si>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</si>
  <si>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</si>
  <si>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</si>
  <si>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</si>
  <si>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</si>
  <si>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</si>
  <si>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</si>
  <si>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</si>
  <si>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</si>
  <si>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</si>
  <si>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</si>
  <si>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</si>
  <si>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</si>
  <si>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</si>
  <si>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</si>
  <si>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</si>
  <si>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</si>
  <si>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</si>
  <si>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</si>
  <si>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</si>
  <si>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</si>
  <si>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</si>
  <si>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</si>
  <si>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</si>
  <si>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</si>
  <si>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</si>
  <si>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</si>
  <si>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</si>
  <si>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</si>
  <si>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</si>
  <si>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</si>
  <si>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</si>
  <si>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</si>
  <si>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</si>
  <si>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</si>
  <si>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</si>
  <si>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</si>
  <si>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</si>
  <si>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</si>
  <si>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</si>
  <si>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</si>
  <si>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</si>
  <si>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</si>
  <si>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</si>
  <si>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</si>
  <si>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</si>
  <si>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</si>
  <si>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</si>
  <si>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</si>
  <si>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</si>
  <si>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</si>
  <si>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</si>
  <si>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</si>
  <si>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</si>
  <si>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</si>
  <si>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</si>
  <si>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</si>
  <si>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</si>
  <si>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</si>
  <si>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</si>
  <si>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</si>
  <si>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</si>
  <si>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</si>
  <si>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</si>
  <si>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</si>
  <si>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</si>
  <si>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</si>
  <si>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</si>
  <si>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</si>
  <si>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</si>
  <si>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</si>
  <si>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</si>
  <si>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</si>
  <si>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</si>
  <si>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</si>
  <si>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</si>
  <si>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</si>
  <si>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</si>
  <si>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</si>
  <si>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</si>
  <si>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</si>
  <si>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</si>
  <si>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</si>
  <si>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</si>
  <si>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</si>
  <si>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</si>
  <si>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</si>
  <si>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</si>
  <si>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</si>
  <si>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</si>
  <si>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</si>
  <si>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</si>
  <si>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</si>
  <si>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</si>
  <si>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</si>
  <si>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</si>
  <si>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</si>
  <si>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</si>
  <si>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</si>
  <si>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</si>
  <si>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</si>
  <si>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</si>
  <si>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</si>
  <si>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</si>
  <si>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</si>
  <si>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</si>
  <si>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</si>
  <si>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</si>
  <si>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</si>
  <si>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</si>
  <si>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</si>
  <si>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</si>
  <si>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</si>
  <si>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</si>
  <si>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</si>
  <si>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</si>
  <si>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</si>
  <si>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</si>
  <si>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</si>
  <si>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</si>
  <si>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</si>
  <si>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</si>
  <si>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</si>
  <si>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</si>
  <si>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</si>
  <si>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</si>
  <si>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</si>
  <si>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</si>
  <si>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</si>
  <si>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</si>
  <si>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</si>
  <si>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</si>
  <si>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</si>
  <si>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</si>
  <si>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</si>
  <si>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</si>
  <si>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</si>
  <si>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</si>
  <si>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</si>
  <si>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</si>
  <si>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</si>
  <si>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</si>
  <si>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</si>
  <si>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</si>
  <si>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</si>
  <si>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</si>
  <si>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</si>
  <si>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</si>
  <si>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</si>
  <si>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</si>
  <si>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</si>
  <si>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</si>
  <si>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</si>
  <si>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</si>
  <si>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</si>
  <si>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</si>
  <si>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</si>
  <si>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</si>
  <si>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</si>
  <si>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</si>
  <si>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</si>
  <si>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</si>
  <si>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</si>
  <si>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</si>
  <si>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</si>
  <si>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</si>
  <si>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</si>
  <si>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</si>
  <si>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</si>
  <si>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</si>
  <si>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</si>
  <si>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</si>
  <si>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</si>
  <si>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</si>
  <si>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</si>
  <si>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</si>
  <si>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</si>
  <si>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</si>
  <si>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</si>
  <si>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</si>
  <si>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</si>
  <si>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</si>
  <si>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</si>
  <si>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</si>
  <si>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</si>
  <si>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</si>
  <si>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</si>
  <si>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</si>
  <si>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</si>
  <si>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</si>
  <si>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</si>
  <si>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</si>
  <si>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</si>
  <si>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</si>
  <si>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</si>
  <si>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</si>
  <si>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</si>
  <si>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</si>
  <si>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</si>
  <si>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</si>
  <si>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</si>
  <si>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</si>
  <si>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</si>
  <si>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</si>
  <si>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</si>
  <si>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</si>
  <si>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</si>
  <si>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</si>
  <si>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</si>
  <si>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</si>
  <si>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</si>
  <si>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</si>
  <si>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</si>
  <si>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</si>
  <si>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</si>
  <si>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</si>
  <si>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</si>
  <si>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</si>
  <si>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</si>
  <si>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</si>
  <si>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</si>
  <si>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</si>
  <si>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</si>
  <si>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</si>
  <si>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</si>
  <si>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</si>
  <si>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</si>
  <si>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</si>
  <si>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</si>
  <si>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</si>
  <si>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</si>
  <si>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</si>
  <si>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</si>
  <si>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</si>
  <si>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</si>
  <si>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</si>
  <si>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</si>
  <si>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</si>
  <si>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</si>
  <si>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</si>
  <si>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</si>
  <si>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</si>
  <si>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</si>
  <si>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</si>
  <si>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</si>
  <si>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</si>
  <si>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</si>
  <si>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</si>
  <si>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</si>
  <si>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</si>
  <si>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</si>
  <si>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</si>
  <si>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</si>
  <si>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</si>
  <si>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</si>
  <si>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</si>
  <si>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</si>
  <si>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</si>
  <si>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</si>
  <si>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</si>
  <si>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</si>
  <si>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</si>
  <si>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</si>
  <si>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</si>
  <si>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</si>
  <si>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</si>
  <si>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</si>
  <si>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</si>
  <si>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</si>
  <si>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</si>
  <si>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</si>
  <si>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</si>
  <si>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</si>
  <si>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</si>
  <si>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</si>
  <si>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</si>
  <si>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</si>
  <si>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</si>
  <si>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</si>
  <si>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</si>
  <si>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</si>
  <si>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</si>
  <si>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</si>
  <si>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</si>
  <si>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</si>
  <si>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</si>
  <si>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</si>
  <si>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</si>
  <si>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</si>
  <si>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</si>
  <si>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</si>
  <si>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</si>
  <si>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</si>
  <si>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</si>
  <si>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</si>
  <si>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</si>
  <si>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</si>
  <si>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</si>
  <si>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</si>
  <si>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</si>
  <si>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</si>
  <si>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</si>
  <si>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</si>
  <si>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</si>
  <si>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</si>
  <si>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</si>
  <si>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</si>
  <si>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</si>
  <si>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</si>
  <si>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</si>
  <si>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</si>
  <si>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</si>
  <si>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</si>
  <si>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</si>
  <si>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</si>
  <si>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</si>
  <si>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</si>
  <si>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</si>
  <si>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</si>
  <si>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</si>
  <si>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</si>
  <si>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</si>
  <si>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</si>
  <si>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</si>
  <si>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</si>
  <si>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</si>
  <si>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</si>
  <si>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</si>
  <si>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</si>
  <si>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</si>
  <si>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</si>
  <si>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</si>
  <si>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</si>
  <si>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</si>
  <si>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</si>
  <si>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</si>
  <si>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</si>
  <si>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</si>
  <si>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</si>
  <si>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</si>
  <si>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</si>
  <si>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</si>
  <si>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</si>
  <si>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</si>
  <si>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</si>
  <si>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</si>
  <si>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</si>
  <si>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</si>
  <si>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</si>
  <si>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</si>
  <si>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</si>
  <si>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</si>
  <si>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</si>
  <si>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</si>
  <si>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</si>
  <si>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</si>
  <si>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</si>
  <si>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</si>
  <si>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</si>
  <si>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</si>
  <si>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</si>
  <si>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</si>
  <si>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</si>
  <si>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</si>
  <si>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</si>
  <si>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</si>
  <si>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</si>
  <si>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</si>
  <si>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</si>
  <si>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</si>
  <si>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</si>
  <si>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</si>
  <si>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</si>
  <si>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</si>
  <si>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</si>
  <si>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</si>
  <si>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</si>
  <si>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</si>
  <si>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</si>
  <si>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</si>
  <si>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</si>
  <si>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</si>
  <si>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</si>
  <si>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</si>
  <si>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</si>
  <si>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</si>
  <si>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</si>
  <si>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</si>
  <si>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</si>
  <si>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</si>
  <si>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</si>
  <si>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</si>
  <si>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</si>
  <si>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</si>
  <si>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</si>
  <si>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</si>
  <si>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</si>
  <si>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</si>
  <si>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</si>
  <si>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</si>
  <si>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</si>
  <si>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</si>
  <si>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</si>
  <si>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</si>
  <si>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</si>
  <si>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</si>
  <si>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</si>
  <si>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</si>
  <si>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</si>
  <si>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</si>
  <si>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</si>
  <si>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</si>
  <si>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</si>
  <si>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</si>
  <si>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</si>
  <si>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</si>
  <si>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</si>
  <si>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</si>
  <si>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</si>
  <si>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</si>
  <si>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</si>
  <si>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</si>
  <si>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</si>
  <si>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</si>
  <si>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</si>
  <si>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</si>
  <si>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</si>
  <si>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</si>
  <si>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</si>
  <si>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</si>
  <si>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</si>
  <si>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</si>
  <si>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</si>
  <si>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</si>
  <si>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</si>
  <si>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</si>
  <si>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</si>
  <si>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</si>
  <si>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</si>
  <si>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</si>
  <si>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</si>
  <si>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</si>
  <si>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</si>
  <si>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</si>
  <si>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</si>
  <si>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</si>
  <si>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</si>
  <si>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</si>
  <si>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</si>
  <si>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</si>
  <si>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</si>
  <si>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</si>
  <si>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</si>
  <si>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</si>
  <si>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</si>
  <si>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</si>
  <si>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</si>
  <si>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</si>
  <si>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</si>
  <si>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</si>
  <si>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</si>
  <si>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</si>
  <si>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</si>
  <si>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</si>
  <si>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</si>
  <si>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</si>
  <si>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</si>
  <si>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</si>
  <si>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</si>
  <si>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</si>
  <si>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</si>
  <si>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</si>
  <si>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</si>
  <si>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</si>
  <si>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</si>
  <si>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</si>
  <si>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</si>
  <si>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</si>
  <si>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</si>
  <si>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</si>
  <si>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</si>
  <si>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</si>
  <si>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</si>
  <si>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</si>
  <si>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</si>
  <si>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</si>
  <si>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</si>
  <si>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</si>
  <si>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</si>
  <si>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</si>
  <si>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</si>
  <si>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</si>
  <si>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</si>
  <si>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</si>
  <si>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</si>
  <si>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</si>
  <si>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</si>
  <si>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</si>
  <si>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</si>
  <si>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</si>
  <si>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</si>
  <si>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</si>
  <si>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</si>
  <si>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</si>
  <si>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</si>
  <si>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</si>
  <si>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</si>
  <si>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</si>
  <si>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</si>
  <si>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</si>
  <si>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</si>
  <si>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</si>
  <si>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</si>
  <si>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</si>
  <si>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</si>
  <si>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</si>
  <si>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</si>
  <si>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</si>
  <si>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</si>
  <si>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</si>
  <si>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</si>
  <si>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</si>
  <si>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</si>
  <si>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</si>
  <si>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</si>
  <si>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</si>
  <si>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</si>
  <si>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</si>
  <si>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</si>
  <si>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</si>
  <si>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</si>
  <si>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</si>
  <si>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</si>
  <si>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</si>
  <si>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</si>
  <si>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</si>
  <si>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</si>
  <si>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</si>
  <si>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</si>
  <si>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</si>
  <si>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</si>
  <si>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</si>
  <si>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</si>
  <si>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</si>
  <si>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</si>
  <si>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</si>
  <si>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</si>
  <si>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</si>
  <si>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</si>
  <si>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</si>
  <si>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</si>
  <si>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</si>
  <si>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</si>
  <si>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</si>
  <si>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</si>
  <si>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</si>
  <si>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</si>
  <si>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</si>
  <si>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</si>
  <si>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</si>
  <si>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</si>
  <si>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</si>
  <si>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</si>
  <si>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</si>
  <si>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</si>
  <si>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</si>
  <si>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</si>
  <si>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</si>
  <si>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</si>
  <si>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</si>
  <si>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</si>
  <si>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</si>
  <si>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</si>
  <si>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</si>
  <si>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</si>
  <si>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</si>
  <si>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</si>
  <si>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</si>
  <si>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</si>
  <si>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</si>
  <si>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</si>
  <si>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</si>
  <si>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</si>
  <si>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</si>
  <si>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</si>
  <si>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</si>
  <si>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</si>
  <si>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</si>
  <si>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</si>
  <si>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</si>
  <si>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</si>
  <si>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</si>
  <si>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</si>
  <si>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</si>
  <si>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</si>
  <si>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</si>
  <si>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</si>
  <si>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</si>
  <si>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</si>
  <si>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</si>
  <si>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</si>
  <si>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</si>
  <si>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</si>
  <si>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</si>
  <si>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</si>
  <si>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</si>
  <si>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</si>
  <si>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</si>
  <si>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</si>
  <si>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</si>
  <si>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</si>
  <si>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</si>
  <si>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</si>
  <si>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</si>
  <si>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</si>
  <si>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</si>
  <si>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</si>
  <si>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</si>
  <si>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</si>
  <si>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</si>
  <si>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</si>
  <si>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</si>
  <si>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</si>
  <si>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</si>
  <si>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</si>
  <si>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</si>
  <si>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</si>
  <si>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</si>
  <si>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</si>
  <si>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</si>
  <si>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</si>
  <si>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</si>
  <si>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</si>
  <si>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</si>
  <si>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</si>
  <si>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</si>
  <si>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</si>
  <si>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</si>
  <si>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</si>
  <si>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</si>
  <si>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</si>
  <si>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</si>
  <si>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</si>
  <si>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</si>
  <si>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</si>
  <si>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</si>
  <si>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</si>
  <si>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</si>
  <si>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</si>
  <si>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</si>
  <si>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</si>
  <si>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</si>
  <si>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</si>
  <si>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</si>
  <si>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</si>
  <si>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</si>
  <si>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</si>
  <si>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</si>
  <si>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</si>
  <si>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</si>
  <si>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</si>
  <si>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</si>
  <si>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</si>
  <si>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</si>
  <si>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</si>
  <si>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</si>
  <si>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</si>
  <si>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</si>
  <si>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</si>
  <si>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</si>
  <si>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</si>
  <si>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</si>
  <si>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</si>
  <si>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</si>
  <si>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</si>
  <si>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</si>
  <si>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</si>
  <si>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</si>
  <si>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</si>
  <si>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</si>
  <si>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</si>
  <si>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</si>
  <si>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</si>
  <si>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</si>
  <si>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</si>
  <si>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</si>
  <si>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</si>
  <si>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</si>
  <si>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</si>
  <si>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</si>
  <si>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</si>
  <si>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</si>
  <si>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</si>
  <si>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</si>
  <si>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</si>
  <si>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</si>
  <si>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</si>
  <si>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</si>
  <si>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</si>
  <si>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</si>
  <si>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</si>
  <si>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</si>
  <si>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</si>
  <si>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</si>
  <si>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</si>
  <si>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</si>
  <si>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</si>
  <si>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</si>
  <si>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</si>
  <si>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</si>
  <si>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</si>
  <si>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</si>
  <si>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</si>
  <si>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</si>
  <si>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</si>
  <si>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</si>
  <si>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</si>
  <si>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</si>
  <si>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</si>
  <si>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</si>
  <si>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</si>
  <si>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</si>
  <si>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</si>
  <si>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</si>
  <si>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</si>
  <si>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</si>
  <si>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</si>
  <si>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</si>
  <si>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</si>
  <si>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</si>
  <si>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</si>
  <si>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</si>
  <si>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</si>
  <si>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</si>
  <si>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</si>
  <si>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</si>
  <si>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</si>
  <si>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</si>
  <si>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</si>
  <si>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</si>
  <si>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</si>
  <si>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</si>
  <si>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</si>
  <si>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</si>
  <si>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</si>
  <si>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</si>
  <si>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</si>
  <si>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</si>
  <si>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</si>
  <si>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</si>
  <si>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</si>
  <si>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</si>
  <si>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</si>
  <si>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</si>
  <si>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</si>
  <si>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</si>
  <si>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</si>
  <si>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</si>
  <si>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</si>
  <si>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</si>
  <si>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</si>
  <si>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</si>
  <si>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</si>
  <si>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</si>
  <si>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</si>
  <si>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</si>
  <si>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</si>
  <si>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</si>
  <si>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</si>
  <si>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</si>
  <si>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</si>
  <si>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</si>
  <si>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</si>
  <si>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</si>
  <si>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</si>
  <si>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</si>
  <si>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</si>
  <si>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</si>
  <si>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</si>
  <si>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</si>
  <si>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</si>
  <si>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</si>
  <si>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</si>
  <si>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</si>
  <si>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</si>
  <si>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</si>
  <si>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</si>
  <si>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</si>
  <si>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</si>
  <si>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</si>
  <si>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</si>
  <si>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</si>
  <si>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</si>
  <si>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</si>
  <si>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</si>
  <si>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</si>
  <si>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</si>
  <si>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</si>
  <si>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</si>
  <si>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</si>
  <si>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</si>
  <si>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</si>
  <si>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</si>
  <si>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</si>
  <si>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</si>
  <si>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</si>
  <si>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</si>
  <si>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</si>
  <si>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</si>
  <si>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</si>
  <si>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</si>
  <si>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</si>
  <si>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</si>
  <si>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</si>
  <si>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</si>
  <si>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</si>
  <si>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</si>
  <si>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</si>
  <si>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</si>
  <si>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</si>
  <si>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</si>
  <si>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</si>
  <si>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</si>
  <si>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</si>
  <si>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</si>
  <si>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</si>
  <si>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</si>
  <si>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</si>
  <si>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</si>
  <si>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</si>
  <si>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</si>
  <si>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</si>
  <si>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</si>
  <si>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</si>
  <si>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</si>
  <si>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</si>
  <si>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</si>
  <si>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</si>
  <si>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</si>
  <si>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</si>
  <si>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</si>
  <si>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</si>
  <si>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</si>
  <si>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</si>
  <si>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</si>
  <si>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</si>
  <si>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</si>
  <si>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</si>
  <si>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</si>
  <si>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</si>
  <si>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</si>
  <si>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</si>
  <si>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</si>
  <si>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</si>
  <si>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</si>
  <si>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</si>
  <si>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</si>
  <si>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</si>
  <si>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</si>
  <si>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</si>
  <si>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</si>
  <si>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</si>
  <si>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</si>
  <si>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</si>
  <si>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</si>
  <si>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</si>
  <si>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</si>
  <si>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</si>
  <si>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</si>
  <si>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</si>
  <si>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</si>
  <si>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</si>
  <si>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</si>
  <si>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</si>
  <si>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</si>
  <si>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</si>
  <si>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</si>
  <si>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</si>
  <si>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</si>
  <si>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</si>
  <si>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</si>
  <si>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</si>
  <si>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</si>
  <si>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</si>
  <si>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</si>
  <si>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</si>
  <si>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</si>
  <si>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</si>
  <si>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</si>
  <si>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</si>
  <si>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</si>
  <si>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</si>
  <si>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</si>
  <si>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</si>
  <si>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</si>
  <si>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</si>
  <si>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</si>
  <si>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</si>
  <si>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</si>
  <si>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</si>
  <si>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</si>
  <si>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</si>
  <si>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</si>
  <si>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</si>
  <si>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</si>
  <si>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</si>
  <si>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</si>
  <si>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</si>
  <si>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</si>
  <si>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</si>
  <si>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</si>
  <si>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</si>
  <si>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</si>
  <si>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</si>
  <si>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</si>
  <si>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</si>
  <si>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</si>
  <si>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</si>
  <si>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</si>
  <si>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</si>
  <si>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</si>
  <si>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</si>
  <si>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</si>
  <si>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</si>
  <si>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</si>
  <si>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</si>
  <si>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</si>
  <si>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</si>
  <si>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</si>
  <si>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</si>
  <si>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</si>
  <si>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</si>
  <si>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</si>
  <si>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</si>
  <si>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</si>
  <si>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</si>
  <si>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</si>
  <si>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</si>
  <si>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</si>
  <si>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</si>
  <si>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</si>
  <si>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</si>
  <si>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</si>
  <si>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</si>
  <si>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</si>
  <si>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</si>
  <si>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</si>
  <si>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</si>
  <si>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</si>
  <si>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</si>
  <si>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</si>
  <si>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</si>
  <si>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</si>
  <si>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</si>
  <si>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</si>
  <si>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</si>
  <si>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</si>
  <si>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</si>
  <si>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</si>
  <si>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</si>
  <si>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</si>
  <si>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</si>
  <si>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</si>
  <si>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</si>
  <si>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</si>
  <si>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</si>
  <si>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</si>
  <si>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</si>
  <si>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</si>
  <si>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</si>
  <si>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</si>
  <si>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</si>
  <si>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</si>
  <si>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</si>
  <si>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</si>
  <si>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</si>
  <si>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</si>
  <si>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</si>
  <si>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</si>
  <si>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</si>
  <si>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</si>
  <si>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</si>
  <si>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</si>
  <si>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</si>
  <si>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</si>
  <si>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</si>
  <si>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</si>
  <si>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</si>
  <si>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</si>
  <si>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</si>
  <si>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</si>
  <si>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</si>
  <si>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</si>
  <si>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</si>
  <si>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</si>
  <si>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</si>
  <si>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</si>
  <si>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</si>
  <si>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</si>
  <si>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</si>
  <si>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</si>
  <si>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</si>
  <si>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</si>
  <si>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</si>
  <si>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</si>
  <si>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</si>
  <si>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</si>
  <si>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</si>
  <si>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</si>
  <si>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</si>
  <si>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</si>
  <si>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</si>
  <si>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</si>
  <si>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</si>
  <si>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</si>
  <si>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</si>
  <si>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</si>
  <si>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</si>
  <si>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</si>
  <si>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</si>
  <si>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</si>
  <si>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</si>
  <si>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</si>
  <si>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</si>
  <si>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</si>
  <si>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</si>
  <si>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</si>
  <si>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</si>
  <si>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</si>
  <si>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</si>
  <si>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</si>
  <si>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</si>
  <si>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</si>
  <si>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</si>
  <si>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</si>
  <si>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</si>
  <si>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</si>
  <si>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</si>
  <si>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</si>
  <si>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</si>
  <si>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</si>
  <si>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</si>
  <si>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</si>
  <si>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</si>
  <si>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</si>
  <si>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</si>
  <si>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</si>
  <si>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</si>
  <si>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</si>
  <si>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</si>
  <si>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</si>
  <si>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</si>
  <si>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</si>
  <si>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</si>
  <si>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</si>
  <si>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</si>
  <si>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</si>
  <si>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</si>
  <si>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</si>
  <si>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</si>
  <si>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</si>
  <si>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</si>
  <si>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</si>
  <si>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</si>
  <si>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</si>
  <si>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</si>
  <si>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</si>
  <si>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</si>
  <si>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</si>
  <si>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</si>
  <si>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</si>
  <si>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</si>
  <si>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</si>
  <si>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</si>
  <si>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</si>
  <si>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</si>
  <si>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</si>
  <si>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</si>
  <si>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</si>
  <si>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</si>
  <si>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</si>
  <si>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</si>
  <si>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</si>
  <si>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</si>
  <si>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</si>
  <si>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</si>
  <si>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</si>
  <si>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</si>
  <si>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</si>
  <si>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</si>
  <si>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</si>
  <si>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</si>
  <si>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</si>
  <si>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</si>
  <si>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</si>
  <si>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</si>
  <si>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</si>
  <si>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</si>
  <si>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</si>
  <si>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</si>
  <si>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</si>
  <si>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</si>
  <si>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</si>
  <si>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</si>
  <si>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</si>
  <si>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</si>
  <si>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</si>
  <si>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</si>
  <si>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</si>
  <si>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</si>
  <si>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</si>
  <si>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</si>
  <si>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</si>
  <si>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</si>
  <si>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</si>
  <si>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</si>
  <si>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</si>
  <si>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</si>
  <si>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</si>
  <si>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</si>
  <si>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</si>
  <si>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</si>
  <si>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</si>
  <si>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</si>
  <si>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</si>
  <si>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</si>
  <si>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</si>
  <si>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</si>
  <si>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</si>
  <si>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</si>
  <si>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</si>
  <si>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</si>
  <si>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</si>
  <si>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</si>
  <si>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</si>
  <si>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</si>
  <si>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</si>
  <si>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</si>
  <si>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</si>
  <si>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</si>
  <si>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</si>
  <si>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</si>
  <si>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</si>
  <si>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</si>
  <si>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</si>
  <si>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</si>
  <si>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</si>
  <si>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</si>
  <si>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</si>
  <si>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</si>
  <si>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</si>
  <si>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</si>
  <si>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</si>
  <si>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</si>
  <si>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</si>
  <si>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</si>
  <si>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</si>
  <si>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</si>
  <si>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</si>
  <si>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</si>
  <si>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</si>
  <si>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</si>
  <si>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</si>
  <si>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</si>
  <si>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</si>
  <si>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</si>
  <si>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</si>
  <si>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</si>
  <si>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</si>
  <si>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</si>
  <si>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</si>
  <si>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</si>
  <si>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</si>
  <si>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</si>
  <si>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</si>
  <si>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</si>
  <si>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</si>
  <si>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</si>
  <si>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</si>
  <si>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</si>
  <si>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</si>
  <si>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</si>
  <si>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</si>
  <si>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</si>
  <si>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</si>
  <si>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</si>
  <si>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</si>
  <si>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</si>
  <si>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</si>
  <si>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</si>
  <si>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</si>
  <si>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</si>
  <si>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</si>
  <si>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</si>
  <si>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</si>
  <si>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</si>
  <si>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</si>
  <si>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</si>
  <si>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</si>
  <si>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</si>
  <si>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</si>
  <si>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</si>
  <si>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</si>
  <si>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</si>
  <si>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</si>
  <si>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</si>
  <si>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</si>
  <si>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</si>
  <si>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</si>
  <si>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</si>
  <si>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</si>
  <si>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</si>
  <si>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</si>
  <si>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</si>
  <si>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</si>
  <si>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</si>
  <si>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</si>
  <si>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</si>
  <si>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</si>
  <si>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</si>
  <si>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</si>
  <si>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</si>
  <si>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</si>
  <si>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</si>
  <si>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</si>
  <si>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</si>
  <si>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</si>
  <si>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</si>
  <si>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</si>
  <si>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</si>
  <si>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</si>
  <si>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</si>
  <si>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</si>
  <si>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</si>
  <si>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</si>
  <si>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</si>
  <si>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</si>
  <si>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</si>
  <si>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</si>
  <si>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</si>
  <si>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</si>
  <si>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</si>
  <si>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</si>
  <si>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</si>
  <si>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</si>
  <si>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</si>
  <si>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</si>
  <si>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</si>
  <si>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</si>
  <si>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</si>
  <si>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</si>
  <si>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</si>
  <si>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</si>
  <si>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</si>
  <si>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</si>
  <si>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</si>
  <si>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</si>
  <si>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</si>
  <si>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</si>
  <si>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</si>
  <si>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</si>
  <si>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</si>
  <si>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</si>
  <si>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</si>
  <si>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</si>
  <si>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</si>
  <si>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</si>
  <si>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</si>
  <si>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</si>
  <si>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</si>
  <si>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</si>
  <si>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</si>
  <si>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</si>
  <si>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</si>
  <si>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</si>
  <si>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</si>
  <si>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</si>
  <si>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</si>
  <si>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</si>
  <si>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</si>
  <si>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</si>
  <si>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</si>
  <si>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</si>
  <si>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</si>
  <si>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</si>
  <si>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</si>
  <si>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</si>
  <si>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</si>
  <si>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</si>
  <si>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</si>
  <si>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</si>
  <si>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</si>
  <si>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</si>
  <si>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</si>
  <si>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</si>
  <si>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</si>
  <si>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</si>
  <si>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</si>
  <si>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</si>
  <si>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</si>
  <si>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</si>
  <si>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</si>
  <si>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</si>
  <si>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</si>
  <si>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</si>
  <si>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</si>
  <si>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</si>
  <si>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</si>
  <si>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</si>
  <si>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</si>
  <si>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</si>
  <si>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</si>
  <si>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</si>
  <si>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</si>
  <si>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</si>
  <si>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</si>
  <si>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</si>
  <si>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</si>
  <si>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</si>
  <si>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</si>
  <si>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</si>
  <si>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</si>
  <si>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</si>
  <si>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</si>
  <si>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</si>
  <si>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</si>
  <si>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</si>
  <si>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</si>
  <si>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</si>
  <si>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</si>
  <si>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</si>
  <si>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</si>
  <si>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</si>
  <si>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</si>
  <si>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</si>
  <si>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</si>
  <si>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</si>
  <si>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</si>
  <si>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</si>
  <si>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</si>
  <si>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</si>
  <si>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</si>
  <si>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</si>
  <si>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</si>
  <si>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</si>
  <si>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</si>
  <si>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</si>
  <si>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</si>
  <si>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</si>
  <si>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</si>
  <si>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</si>
  <si>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</si>
  <si>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</si>
  <si>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</si>
  <si>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</si>
  <si>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</si>
  <si>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</si>
  <si>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</si>
  <si>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</si>
  <si>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</si>
  <si>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</si>
  <si>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</si>
  <si>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</si>
  <si>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</si>
  <si>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</si>
  <si>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</si>
  <si>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</si>
  <si>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</si>
  <si>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</si>
  <si>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</si>
  <si>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</si>
  <si>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</si>
  <si>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</si>
  <si>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</si>
  <si>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</si>
  <si>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</si>
  <si>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</si>
  <si>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</si>
  <si>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</si>
  <si>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</si>
  <si>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</si>
  <si>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</si>
  <si>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</si>
  <si>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</si>
  <si>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</si>
  <si>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</si>
  <si>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</si>
  <si>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</si>
  <si>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</si>
  <si>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</si>
  <si>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</si>
  <si>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</si>
  <si>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</si>
  <si>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</si>
  <si>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</si>
  <si>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</si>
  <si>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</si>
  <si>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</si>
  <si>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</si>
  <si>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</si>
  <si>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</si>
  <si>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</si>
  <si>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</si>
  <si>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</si>
  <si>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</si>
  <si>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</si>
  <si>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</si>
  <si>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</si>
  <si>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</si>
  <si>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</si>
  <si>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</si>
  <si>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</si>
  <si>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</si>
  <si>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</si>
  <si>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</si>
  <si>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</si>
  <si>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</si>
  <si>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</si>
  <si>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</si>
  <si>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</si>
  <si>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</si>
  <si>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</si>
  <si>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</si>
  <si>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</si>
  <si>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</si>
  <si>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</si>
  <si>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</si>
  <si>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</si>
  <si>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</si>
  <si>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</si>
  <si>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</si>
  <si>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</si>
  <si>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</si>
  <si>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</si>
  <si>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</si>
  <si>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</si>
  <si>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</si>
  <si>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</si>
  <si>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</si>
  <si>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</si>
  <si>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</si>
  <si>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</si>
  <si>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</si>
  <si>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</si>
  <si>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</si>
  <si>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</si>
  <si>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</si>
  <si>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</si>
  <si>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</si>
  <si>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</si>
  <si>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</si>
  <si>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</si>
  <si>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</si>
  <si>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</si>
  <si>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</si>
  <si>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</si>
  <si>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</si>
  <si>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</si>
  <si>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</si>
  <si>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</si>
  <si>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</si>
  <si>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</si>
  <si>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</si>
  <si>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</si>
  <si>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</si>
  <si>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</si>
  <si>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</si>
  <si>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</si>
  <si>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</si>
  <si>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</si>
  <si>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</si>
  <si>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</si>
  <si>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</si>
  <si>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</si>
  <si>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</si>
  <si>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</si>
  <si>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</si>
  <si>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</si>
  <si>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</si>
  <si>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</si>
  <si>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</si>
  <si>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</si>
  <si>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</si>
  <si>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</si>
  <si>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</si>
  <si>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</si>
  <si>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</si>
  <si>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</si>
  <si>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</si>
  <si>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</si>
  <si>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</si>
  <si>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</si>
  <si>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</si>
  <si>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</si>
  <si>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</si>
  <si>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</si>
  <si>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</si>
  <si>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</si>
  <si>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</si>
  <si>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</si>
  <si>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</si>
  <si>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</si>
  <si>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</si>
  <si>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</si>
  <si>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</si>
  <si>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</si>
  <si>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</si>
  <si>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</si>
  <si>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</si>
  <si>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</si>
  <si>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</si>
  <si>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</si>
  <si>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</si>
  <si>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</si>
  <si>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</si>
  <si>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</si>
  <si>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</si>
  <si>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</si>
  <si>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</si>
  <si>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</si>
  <si>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</si>
  <si>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</si>
  <si>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</si>
  <si>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</si>
  <si>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</si>
  <si>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</si>
  <si>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</si>
  <si>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</si>
  <si>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</si>
  <si>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</si>
  <si>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</si>
  <si>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</si>
  <si>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</si>
  <si>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</si>
  <si>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</si>
  <si>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</si>
  <si>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</si>
  <si>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</si>
  <si>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</si>
  <si>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</si>
  <si>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</si>
  <si>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</si>
  <si>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</si>
  <si>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</si>
  <si>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</si>
  <si>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</si>
  <si>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</si>
  <si>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</si>
  <si>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</si>
  <si>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</si>
  <si>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</si>
  <si>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</si>
  <si>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</si>
  <si>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</si>
  <si>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</si>
  <si>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</si>
  <si>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</si>
  <si>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</si>
  <si>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</si>
  <si>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</si>
  <si>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</si>
  <si>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</si>
  <si>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</si>
  <si>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</si>
  <si>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</si>
  <si>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</si>
  <si>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</si>
  <si>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</si>
  <si>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</si>
  <si>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</si>
  <si>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</si>
  <si>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</si>
  <si>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</si>
  <si>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</si>
  <si>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</si>
  <si>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</si>
  <si>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</si>
  <si>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</si>
  <si>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</si>
  <si>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</si>
  <si>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</si>
  <si>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</si>
  <si>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</si>
  <si>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</si>
  <si>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</si>
  <si>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</si>
  <si>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</si>
  <si>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</si>
  <si>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</si>
  <si>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</si>
  <si>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</si>
  <si>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</si>
  <si>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</si>
  <si>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</si>
  <si>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</si>
  <si>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</si>
  <si>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</si>
  <si>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</si>
  <si>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</si>
  <si>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</si>
  <si>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</si>
  <si>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</si>
  <si>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</si>
  <si>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</si>
  <si>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</si>
  <si>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</si>
  <si>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</si>
  <si>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</si>
  <si>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</si>
  <si>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</si>
  <si>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</si>
  <si>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</si>
  <si>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</si>
  <si>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</si>
  <si>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</si>
  <si>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</si>
  <si>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</si>
  <si>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</si>
  <si>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</si>
  <si>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</si>
  <si>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</si>
  <si>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</si>
  <si>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</si>
  <si>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</si>
  <si>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</si>
  <si>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</si>
  <si>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</si>
  <si>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</si>
  <si>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</si>
  <si>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</si>
  <si>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</si>
  <si>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</si>
  <si>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</si>
  <si>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</si>
  <si>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</si>
  <si>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</si>
  <si>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</si>
  <si>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</si>
  <si>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</si>
  <si>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</si>
  <si>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</si>
  <si>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</si>
  <si>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</si>
  <si>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</si>
  <si>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</si>
  <si>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</si>
  <si>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</si>
  <si>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</si>
  <si>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</si>
  <si>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</si>
  <si>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</si>
  <si>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</si>
  <si>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</si>
  <si>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</si>
  <si>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</si>
  <si>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</si>
  <si>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</si>
  <si>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</si>
  <si>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</si>
  <si>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</si>
  <si>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</si>
  <si>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</si>
  <si>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</si>
  <si>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</si>
  <si>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</si>
  <si>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</si>
  <si>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</si>
  <si>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</si>
  <si>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</si>
  <si>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</si>
  <si>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</si>
  <si>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</si>
  <si>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</si>
  <si>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</si>
  <si>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</si>
  <si>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</si>
  <si>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</si>
  <si>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</si>
  <si>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</si>
  <si>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</si>
  <si>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</si>
  <si>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</si>
  <si>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</si>
  <si>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</si>
  <si>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</si>
  <si>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</si>
  <si>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</si>
  <si>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</si>
  <si>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</si>
  <si>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</si>
  <si>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</si>
  <si>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</si>
  <si>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</si>
  <si>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</si>
  <si>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</si>
  <si>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</si>
  <si>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</si>
  <si>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</si>
  <si>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</si>
  <si>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</si>
  <si>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</si>
  <si>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</si>
  <si>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</si>
  <si>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</si>
  <si>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</si>
  <si>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</si>
  <si>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</si>
  <si>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</si>
  <si>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</si>
  <si>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</si>
  <si>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</si>
  <si>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</si>
  <si>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</si>
  <si>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</si>
  <si>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</si>
  <si>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</si>
  <si>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</si>
  <si>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</si>
  <si>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</si>
  <si>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</si>
  <si>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</si>
  <si>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</si>
  <si>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</si>
  <si>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</si>
  <si>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</si>
  <si>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</si>
  <si>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</si>
  <si>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</si>
  <si>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</si>
  <si>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</si>
  <si>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</si>
  <si>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</si>
  <si>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</si>
  <si>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</si>
  <si>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</si>
  <si>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</si>
  <si>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</si>
  <si>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</si>
  <si>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</si>
  <si>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</si>
  <si>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</si>
  <si>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</si>
  <si>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</si>
  <si>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</si>
  <si>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</si>
  <si>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</si>
  <si>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</si>
  <si>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</si>
  <si>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</si>
  <si>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</si>
  <si>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</si>
  <si>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</si>
  <si>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</si>
  <si>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</si>
  <si>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</si>
  <si>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</si>
  <si>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</si>
  <si>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</si>
  <si>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</si>
  <si>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</si>
  <si>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</si>
  <si>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</si>
  <si>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</si>
  <si>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</si>
  <si>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</si>
  <si>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</si>
  <si>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</si>
  <si>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</si>
  <si>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</si>
  <si>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</si>
  <si>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</si>
  <si>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</si>
  <si>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</si>
  <si>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</si>
  <si>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</si>
  <si>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</si>
  <si>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</si>
  <si>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</si>
  <si>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</si>
  <si>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</si>
  <si>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</si>
  <si>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</si>
  <si>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</si>
  <si>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</si>
  <si>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</si>
  <si>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</si>
  <si>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</si>
  <si>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</si>
  <si>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</si>
  <si>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</si>
  <si>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</si>
  <si>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</si>
  <si>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</si>
  <si>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</si>
  <si>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</si>
  <si>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</si>
  <si>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</si>
  <si>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</si>
  <si>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</si>
  <si>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</si>
  <si>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</si>
  <si>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</si>
  <si>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</si>
  <si>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</si>
  <si>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</si>
  <si>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</si>
  <si>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</si>
  <si>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</si>
  <si>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</si>
  <si>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</si>
  <si>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</si>
  <si>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</si>
  <si>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</si>
  <si>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</si>
  <si>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</si>
  <si>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</si>
  <si>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</si>
  <si>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</si>
  <si>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</si>
  <si>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</si>
  <si>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</si>
  <si>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</si>
  <si>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</si>
  <si>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</si>
  <si>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</si>
  <si>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</si>
  <si>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</si>
  <si>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</si>
  <si>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</si>
  <si>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</si>
  <si>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</si>
  <si>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</si>
  <si>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</si>
  <si>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</si>
  <si>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</si>
  <si>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</si>
  <si>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</si>
  <si>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</si>
  <si>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</si>
  <si>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</si>
  <si>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</si>
  <si>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</si>
  <si>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</si>
  <si>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</si>
  <si>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</si>
  <si>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</si>
  <si>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</si>
  <si>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</si>
  <si>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</si>
  <si>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</si>
  <si>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</si>
  <si>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</si>
  <si>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</si>
  <si>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</si>
  <si>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</si>
  <si>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</si>
  <si>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</si>
  <si>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</si>
  <si>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</si>
  <si>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</si>
  <si>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</si>
  <si>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</si>
  <si>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</si>
  <si>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</si>
  <si>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</si>
  <si>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</si>
  <si>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</si>
  <si>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</si>
  <si>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</si>
  <si>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</si>
  <si>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</si>
  <si>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</si>
  <si>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</si>
  <si>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</si>
  <si>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</si>
  <si>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</si>
  <si>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</si>
  <si>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</si>
  <si>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</si>
  <si>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</si>
  <si>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</si>
  <si>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</si>
  <si>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</si>
  <si>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</si>
  <si>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</si>
  <si>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</si>
  <si>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</si>
  <si>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</si>
  <si>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</si>
  <si>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</si>
  <si>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</si>
  <si>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</si>
  <si>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</si>
  <si>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</si>
  <si>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</si>
  <si>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</si>
  <si>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</si>
  <si>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</si>
  <si>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</si>
  <si>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</si>
  <si>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</si>
  <si>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</si>
  <si>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</si>
  <si>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</si>
  <si>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</si>
  <si>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</si>
  <si>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</si>
  <si>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</si>
  <si>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</si>
  <si>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</si>
  <si>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</si>
  <si>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</si>
  <si>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</si>
  <si>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</si>
  <si>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</si>
  <si>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</si>
  <si>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</si>
  <si>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</si>
  <si>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</si>
  <si>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</si>
  <si>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</si>
  <si>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</si>
  <si>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</si>
  <si>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</si>
  <si>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</si>
  <si>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</si>
  <si>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</si>
  <si>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</si>
  <si>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</si>
  <si>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</si>
  <si>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</si>
  <si>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</si>
  <si>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</si>
  <si>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</si>
  <si>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</si>
  <si>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</si>
  <si>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</si>
  <si>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</si>
  <si>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</si>
  <si>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</si>
  <si>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</si>
  <si>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</si>
  <si>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</si>
  <si>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</si>
  <si>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</si>
  <si>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</si>
  <si>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</si>
  <si>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</si>
  <si>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</si>
  <si>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</si>
  <si>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</si>
  <si>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</si>
  <si>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</si>
  <si>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</si>
  <si>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</si>
  <si>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</si>
  <si>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</si>
  <si>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</si>
  <si>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</si>
  <si>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</si>
  <si>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</si>
  <si>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</si>
  <si>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</si>
  <si>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</si>
  <si>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</si>
  <si>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</si>
  <si>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</si>
  <si>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</si>
  <si>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</si>
  <si>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</si>
  <si>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</si>
  <si>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</si>
  <si>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</si>
  <si>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</si>
  <si>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</si>
  <si>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</si>
  <si>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</si>
  <si>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</si>
  <si>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</si>
  <si>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</si>
  <si>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</si>
  <si>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</si>
  <si>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</si>
  <si>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</si>
  <si>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</si>
  <si>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</si>
  <si>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</si>
  <si>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</si>
  <si>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</si>
  <si>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</si>
  <si>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</si>
  <si>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</si>
  <si>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</si>
  <si>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</si>
  <si>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</si>
  <si>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</si>
  <si>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</si>
  <si>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</si>
  <si>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</si>
  <si>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</si>
  <si>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</si>
  <si>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</si>
  <si>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</si>
  <si>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</si>
  <si>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</si>
  <si>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</si>
  <si>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</si>
  <si>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</si>
  <si>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</si>
  <si>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</si>
  <si>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</si>
  <si>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</si>
  <si>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</si>
  <si>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</si>
  <si>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</si>
  <si>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</si>
  <si>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</si>
  <si>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</si>
  <si>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</si>
  <si>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</si>
  <si>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</si>
  <si>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</si>
  <si>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</si>
  <si>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</si>
  <si>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</si>
  <si>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</si>
  <si>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</si>
  <si>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</si>
  <si>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</si>
  <si>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</si>
  <si>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</si>
  <si>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</si>
  <si>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</si>
  <si>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</si>
  <si>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</si>
  <si>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</si>
  <si>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</si>
  <si>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</si>
  <si>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</si>
  <si>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</si>
  <si>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</si>
  <si>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</si>
  <si>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</si>
  <si>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</si>
  <si>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</si>
  <si>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</si>
  <si>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</si>
  <si>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</si>
  <si>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</si>
  <si>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</si>
  <si>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</si>
  <si>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</si>
  <si>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</si>
  <si>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</si>
  <si>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</si>
  <si>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</si>
  <si>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</si>
  <si>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</si>
  <si>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</si>
  <si>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</si>
  <si>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</si>
  <si>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</si>
  <si>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</si>
  <si>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</si>
  <si>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</si>
  <si>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</si>
  <si>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</si>
  <si>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</si>
  <si>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</si>
  <si>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</si>
  <si>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</si>
  <si>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</si>
  <si>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</si>
  <si>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</si>
  <si>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</si>
  <si>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</si>
  <si>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</si>
  <si>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</si>
  <si>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</si>
  <si>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</si>
  <si>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</si>
  <si>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</si>
  <si>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</si>
  <si>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</si>
  <si>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</si>
  <si>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</si>
  <si>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</si>
  <si>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</si>
  <si>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</si>
  <si>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</si>
  <si>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</si>
  <si>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</si>
  <si>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</si>
  <si>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</si>
  <si>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</si>
  <si>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</si>
  <si>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</si>
  <si>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</si>
  <si>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</si>
  <si>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</si>
  <si>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</si>
  <si>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</si>
  <si>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</si>
  <si>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</si>
  <si>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</si>
  <si>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</si>
  <si>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</si>
  <si>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</si>
  <si>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</si>
  <si>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</si>
  <si>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</si>
  <si>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</si>
  <si>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</si>
  <si>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</si>
  <si>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</si>
  <si>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</si>
  <si>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</si>
  <si>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</si>
  <si>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</si>
  <si>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</si>
  <si>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</si>
  <si>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</si>
  <si>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</si>
  <si>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</si>
  <si>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</si>
  <si>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</si>
  <si>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</si>
  <si>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</si>
  <si>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</si>
  <si>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</si>
  <si>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</si>
  <si>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</si>
  <si>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</si>
  <si>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</si>
  <si>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</si>
  <si>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</si>
  <si>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</si>
  <si>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</si>
  <si>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</si>
  <si>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</si>
  <si>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</si>
  <si>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</si>
  <si>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</si>
  <si>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</si>
  <si>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</si>
  <si>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</si>
  <si>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</si>
  <si>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</si>
  <si>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</si>
  <si>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</si>
  <si>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</si>
  <si>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</si>
  <si>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</si>
  <si>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</si>
  <si>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</si>
  <si>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</si>
  <si>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</si>
  <si>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</si>
  <si>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</si>
  <si>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</si>
  <si>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</si>
  <si>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</si>
  <si>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</si>
  <si>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</si>
  <si>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</si>
  <si>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</si>
  <si>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</si>
  <si>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</si>
  <si>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</si>
  <si>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</si>
  <si>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</si>
  <si>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</si>
  <si>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</si>
  <si>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</si>
  <si>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</si>
  <si>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</si>
  <si>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</si>
  <si>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</si>
  <si>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</si>
  <si>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</si>
  <si>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</si>
  <si>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</si>
  <si>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</si>
  <si>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</si>
  <si>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</si>
  <si>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</si>
  <si>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</si>
  <si>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</si>
  <si>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</si>
  <si>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</si>
  <si>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</si>
  <si>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</si>
  <si>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</si>
  <si>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</si>
  <si>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</si>
  <si>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</si>
  <si>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</si>
  <si>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</si>
  <si>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</si>
  <si>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</si>
  <si>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</si>
  <si>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</si>
  <si>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</si>
  <si>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</si>
  <si>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</si>
  <si>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</si>
  <si>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</si>
  <si>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</si>
  <si>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</si>
  <si>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</si>
  <si>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</si>
  <si>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</si>
  <si>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</si>
  <si>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</si>
  <si>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</si>
  <si>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</si>
  <si>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</si>
  <si>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</si>
  <si>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</si>
  <si>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</si>
  <si>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</si>
  <si>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</si>
  <si>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</si>
  <si>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</si>
  <si>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</si>
  <si>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</si>
  <si>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</si>
  <si>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</si>
  <si>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</si>
  <si>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</si>
  <si>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</si>
  <si>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</si>
  <si>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</si>
  <si>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</si>
  <si>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</si>
  <si>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</si>
  <si>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</si>
  <si>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</si>
  <si>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</si>
  <si>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</si>
  <si>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</si>
  <si>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</si>
  <si>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</si>
  <si>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</si>
  <si>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</si>
  <si>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</si>
  <si>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</si>
  <si>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</si>
  <si>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</si>
  <si>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</si>
  <si>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</si>
  <si>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</si>
  <si>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</si>
  <si>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</si>
  <si>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</si>
  <si>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</si>
  <si>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</si>
  <si>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</si>
  <si>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</si>
  <si>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</si>
  <si>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</si>
  <si>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</si>
  <si>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</si>
  <si>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</si>
  <si>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</si>
  <si>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</si>
  <si>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</si>
  <si>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</si>
  <si>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</si>
  <si>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</si>
  <si>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</si>
  <si>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</si>
  <si>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</si>
  <si>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</si>
  <si>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</si>
  <si>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</si>
  <si>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</si>
  <si>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</si>
  <si>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</si>
  <si>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</si>
  <si>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</si>
  <si>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</si>
  <si>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</si>
  <si>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</si>
  <si>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</si>
  <si>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</si>
  <si>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</si>
  <si>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</si>
  <si>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</si>
  <si>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</si>
  <si>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</si>
  <si>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</si>
  <si>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</si>
  <si>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</si>
  <si>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</si>
  <si>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</si>
  <si>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</si>
  <si>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</si>
  <si>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</si>
  <si>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</si>
  <si>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</si>
  <si>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</si>
  <si>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</si>
  <si>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</si>
  <si>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</si>
  <si>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</si>
  <si>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</si>
  <si>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</si>
  <si>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</si>
  <si>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</si>
  <si>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</si>
  <si>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</si>
  <si>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</si>
  <si>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</si>
  <si>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</si>
  <si>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</si>
  <si>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</si>
  <si>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</si>
  <si>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</si>
  <si>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</si>
  <si>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</si>
  <si>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</si>
  <si>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</si>
  <si>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</si>
  <si>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</si>
  <si>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</si>
  <si>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</si>
  <si>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</si>
  <si>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</si>
  <si>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</si>
  <si>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</si>
  <si>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</si>
  <si>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</si>
  <si>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</si>
  <si>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</si>
  <si>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</si>
  <si>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</si>
  <si>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</si>
  <si>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</si>
  <si>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</si>
  <si>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</si>
  <si>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</si>
  <si>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</si>
  <si>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</si>
  <si>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</si>
  <si>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</si>
  <si>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</si>
  <si>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</si>
  <si>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</si>
  <si>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</si>
  <si>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</si>
  <si>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</si>
  <si>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</si>
  <si>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</si>
  <si>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</si>
  <si>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</si>
  <si>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</si>
  <si>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</si>
  <si>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</si>
  <si>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</si>
  <si>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</si>
  <si>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</si>
  <si>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</si>
  <si>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</si>
  <si>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</si>
  <si>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</si>
  <si>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</si>
  <si>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</si>
  <si>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</si>
  <si>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</si>
  <si>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</si>
  <si>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</si>
  <si>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</si>
  <si>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</si>
  <si>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</si>
  <si>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</si>
  <si>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</si>
  <si>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</si>
  <si>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</si>
  <si>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</si>
  <si>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</si>
  <si>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</si>
  <si>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</si>
  <si>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</si>
  <si>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</si>
  <si>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</si>
  <si>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</si>
  <si>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</si>
  <si>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</si>
  <si>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</si>
  <si>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</si>
  <si>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</si>
  <si>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</si>
  <si>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</si>
  <si>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</si>
  <si>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</si>
  <si>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</si>
  <si>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</si>
  <si>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</si>
  <si>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</si>
  <si>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</si>
  <si>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</si>
  <si>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</si>
  <si>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</si>
  <si>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</si>
  <si>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</si>
  <si>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</si>
  <si>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</si>
  <si>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</si>
  <si>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</si>
  <si>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</si>
  <si>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</si>
  <si>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</si>
  <si>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</si>
  <si>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</si>
  <si>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</si>
  <si>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</si>
  <si>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</si>
  <si>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</si>
  <si>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</si>
  <si>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</si>
  <si>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</si>
  <si>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</si>
  <si>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</si>
  <si>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</si>
  <si>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</si>
  <si>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</si>
  <si>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</si>
  <si>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</si>
  <si>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</si>
  <si>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</si>
  <si>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</si>
  <si>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</si>
  <si>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</si>
  <si>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</si>
  <si>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</si>
  <si>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叶凌</t>
  </si>
  <si>
    <t>陈颖</t>
  </si>
  <si>
    <t>市场价格</t>
  </si>
  <si>
    <t>企业</t>
  </si>
  <si>
    <t>一致</t>
  </si>
  <si>
    <t>地上</t>
  </si>
  <si>
    <t>办公楼</t>
  </si>
  <si>
    <t>地下</t>
  </si>
  <si>
    <t>车库</t>
  </si>
  <si>
    <t>办公</t>
    <phoneticPr fontId="7" type="noConversion"/>
  </si>
  <si>
    <t>车库</t>
    <phoneticPr fontId="7" type="noConversion"/>
  </si>
  <si>
    <t>估价对象所在区域公共配套设施齐备情况较齐备</t>
    <phoneticPr fontId="3" type="noConversion"/>
  </si>
  <si>
    <t>商务金融用地（办公类）</t>
  </si>
  <si>
    <t>与级别开发程度一致</t>
  </si>
  <si>
    <t>按公示增长率计算</t>
  </si>
  <si>
    <t>容积率修正</t>
  </si>
  <si>
    <t>较好</t>
  </si>
  <si>
    <t>一般</t>
  </si>
  <si>
    <t>较差</t>
  </si>
  <si>
    <t>城市支路——张仪村东五路</t>
    <phoneticPr fontId="21" type="noConversion"/>
  </si>
  <si>
    <t>好</t>
  </si>
  <si>
    <t>剩余法-待开发</t>
  </si>
  <si>
    <t>首钢二通产业园区</t>
    <phoneticPr fontId="3" type="noConversion"/>
  </si>
  <si>
    <t>首科大厦</t>
    <phoneticPr fontId="3" type="noConversion"/>
  </si>
  <si>
    <t>正常</t>
  </si>
  <si>
    <t>办公</t>
    <phoneticPr fontId="27" type="noConversion"/>
  </si>
  <si>
    <t>40-50（含）</t>
  </si>
  <si>
    <t>七通</t>
  </si>
  <si>
    <r>
      <rPr>
        <sz val="11"/>
        <rFont val="宋体"/>
        <family val="3"/>
        <charset val="134"/>
      </rPr>
      <t>城市次干道</t>
    </r>
    <r>
      <rPr>
        <sz val="11"/>
        <rFont val="Arial"/>
        <family val="2"/>
      </rPr>
      <t>——</t>
    </r>
    <r>
      <rPr>
        <sz val="11"/>
        <rFont val="宋体"/>
        <family val="3"/>
        <charset val="134"/>
      </rPr>
      <t>西局东街</t>
    </r>
    <phoneticPr fontId="27" type="noConversion"/>
  </si>
  <si>
    <r>
      <rPr>
        <sz val="11"/>
        <color indexed="8"/>
        <rFont val="宋体"/>
        <family val="3"/>
        <charset val="134"/>
      </rPr>
      <t>城市次干道</t>
    </r>
    <r>
      <rPr>
        <sz val="11"/>
        <color indexed="8"/>
        <rFont val="Arial"/>
        <family val="2"/>
      </rPr>
      <t/>
    </r>
    <phoneticPr fontId="27" type="noConversion"/>
  </si>
  <si>
    <t>城市支路</t>
  </si>
  <si>
    <t>城市支路</t>
    <phoneticPr fontId="27" type="noConversion"/>
  </si>
  <si>
    <t>城市次干道</t>
  </si>
  <si>
    <t>钢混</t>
  </si>
  <si>
    <t>钢混</t>
    <phoneticPr fontId="27" type="noConversion"/>
  </si>
  <si>
    <t>普装</t>
  </si>
  <si>
    <t>普装</t>
    <phoneticPr fontId="27" type="noConversion"/>
  </si>
  <si>
    <t>物业公司管理</t>
  </si>
  <si>
    <t>物业公司管理</t>
    <phoneticPr fontId="27" type="noConversion"/>
  </si>
  <si>
    <t>七通</t>
    <phoneticPr fontId="27" type="noConversion"/>
  </si>
  <si>
    <t>六通</t>
    <phoneticPr fontId="27" type="noConversion"/>
  </si>
  <si>
    <t>五通</t>
    <phoneticPr fontId="27" type="noConversion"/>
  </si>
  <si>
    <t>标准层高</t>
  </si>
  <si>
    <t>标准层高</t>
    <phoneticPr fontId="27" type="noConversion"/>
  </si>
  <si>
    <t>毛坯</t>
    <phoneticPr fontId="27" type="noConversion"/>
  </si>
  <si>
    <t>简装</t>
  </si>
  <si>
    <t>简装</t>
    <phoneticPr fontId="27" type="noConversion"/>
  </si>
  <si>
    <t>估价对象周边有银河大厦、尚西商务中心、亿客隆大厦等，办公楼项目较多，入驻率高，办公集聚程度较好</t>
    <phoneticPr fontId="27" type="noConversion"/>
  </si>
  <si>
    <r>
      <rPr>
        <b/>
        <sz val="11"/>
        <rFont val="仿宋_GB2312"/>
        <family val="3"/>
        <charset val="134"/>
      </rPr>
      <t>估价对象</t>
    </r>
    <r>
      <rPr>
        <b/>
        <sz val="11"/>
        <color theme="9" tint="-0.249977111117893"/>
        <rFont val="仿宋_GB2312"/>
        <family val="3"/>
        <charset val="134"/>
      </rPr>
      <t>办公用房的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</si>
  <si>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已部分缴纳</t>
  </si>
  <si>
    <r>
      <rPr>
        <b/>
        <sz val="12"/>
        <color theme="1"/>
        <rFont val="Adobe 黑体 Std R"/>
        <family val="2"/>
        <charset val="134"/>
      </rPr>
      <t>用途</t>
    </r>
    <phoneticPr fontId="228" type="noConversion"/>
  </si>
  <si>
    <r>
      <rPr>
        <b/>
        <sz val="12"/>
        <color theme="1"/>
        <rFont val="Adobe 黑体 Std R"/>
        <family val="2"/>
        <charset val="134"/>
      </rPr>
      <t>方法</t>
    </r>
    <phoneticPr fontId="228" type="noConversion"/>
  </si>
  <si>
    <r>
      <rPr>
        <b/>
        <sz val="12"/>
        <color theme="1"/>
        <rFont val="Adobe 黑体 Std R"/>
        <family val="2"/>
        <charset val="134"/>
      </rPr>
      <t>权重</t>
    </r>
    <phoneticPr fontId="228" type="noConversion"/>
  </si>
  <si>
    <r>
      <rPr>
        <sz val="11"/>
        <color theme="1"/>
        <rFont val="宋体"/>
        <family val="3"/>
        <charset val="134"/>
      </rPr>
      <t>基准地价法</t>
    </r>
    <phoneticPr fontId="228" type="noConversion"/>
  </si>
  <si>
    <r>
      <rPr>
        <sz val="11"/>
        <color theme="1"/>
        <rFont val="宋体"/>
        <family val="3"/>
        <charset val="134"/>
      </rPr>
      <t>剩余法</t>
    </r>
    <phoneticPr fontId="228" type="noConversion"/>
  </si>
  <si>
    <r>
      <rPr>
        <sz val="11"/>
        <color theme="1"/>
        <rFont val="宋体"/>
        <family val="3"/>
        <charset val="134"/>
      </rPr>
      <t>地下车库</t>
    </r>
    <phoneticPr fontId="228" type="noConversion"/>
  </si>
  <si>
    <t>地上办公</t>
    <phoneticPr fontId="228" type="noConversion"/>
  </si>
  <si>
    <t>楼面熟地价</t>
    <phoneticPr fontId="276" type="noConversion"/>
  </si>
  <si>
    <t>权重单价</t>
    <phoneticPr fontId="228" type="noConversion"/>
  </si>
  <si>
    <t>政府土地收益</t>
    <phoneticPr fontId="228" type="noConversion"/>
  </si>
  <si>
    <t>熟地价</t>
    <phoneticPr fontId="228" type="noConversion"/>
  </si>
  <si>
    <t>熟地总价(万元）</t>
    <phoneticPr fontId="228" type="noConversion"/>
  </si>
  <si>
    <t>地面熟地单价（元/㎡）</t>
    <phoneticPr fontId="228" type="noConversion"/>
  </si>
  <si>
    <t>地下</t>
    <phoneticPr fontId="228" type="noConversion"/>
  </si>
  <si>
    <t>车库</t>
    <phoneticPr fontId="228" type="noConversion"/>
  </si>
  <si>
    <t>——</t>
    <phoneticPr fontId="228" type="noConversion"/>
  </si>
  <si>
    <t>部位</t>
    <phoneticPr fontId="228" type="noConversion"/>
  </si>
  <si>
    <t>用途</t>
    <phoneticPr fontId="228" type="noConversion"/>
  </si>
  <si>
    <t>出让建筑面积（㎡）</t>
    <phoneticPr fontId="276" type="noConversion"/>
  </si>
  <si>
    <t>地上</t>
    <phoneticPr fontId="228" type="noConversion"/>
  </si>
  <si>
    <t>地下</t>
    <phoneticPr fontId="228" type="noConversion"/>
  </si>
  <si>
    <t>车库</t>
    <phoneticPr fontId="228" type="noConversion"/>
  </si>
  <si>
    <t>办公</t>
    <phoneticPr fontId="228" type="noConversion"/>
  </si>
  <si>
    <t>楼面熟地价（元/㎡）</t>
    <phoneticPr fontId="228" type="noConversion"/>
  </si>
  <si>
    <t>估价结果</t>
    <phoneticPr fontId="228" type="noConversion"/>
  </si>
  <si>
    <t>政府土地出让收益楼面价（元/㎡）</t>
    <phoneticPr fontId="228" type="noConversion"/>
  </si>
  <si>
    <t>政府土地出让收益总价（万元）</t>
    <phoneticPr fontId="228" type="noConversion"/>
  </si>
  <si>
    <t>政府土地出让收益与应分摊成本合计楼面单价（元/㎡）</t>
    <phoneticPr fontId="228" type="noConversion"/>
  </si>
  <si>
    <t>政府土地出让收益</t>
    <phoneticPr fontId="228" type="noConversion"/>
  </si>
  <si>
    <t>底价建议</t>
    <phoneticPr fontId="228" type="noConversion"/>
  </si>
  <si>
    <t>地上</t>
    <phoneticPr fontId="228" type="noConversion"/>
  </si>
  <si>
    <t>合计</t>
    <phoneticPr fontId="228" type="noConversion"/>
  </si>
  <si>
    <t>合计</t>
    <phoneticPr fontId="228" type="noConversion"/>
  </si>
  <si>
    <t>建议出让底价总价(万元）</t>
    <phoneticPr fontId="276" type="noConversion"/>
  </si>
  <si>
    <t>单位面积成本</t>
    <phoneticPr fontId="228" type="noConversion"/>
  </si>
  <si>
    <t>——</t>
    <phoneticPr fontId="228" type="noConversion"/>
  </si>
  <si>
    <t>所在级别楼面熟地价低限（元/㎡）</t>
    <phoneticPr fontId="228" type="noConversion"/>
  </si>
  <si>
    <t>所在级别政府土地出让收益低限（元/㎡）</t>
    <phoneticPr fontId="228" type="noConversion"/>
  </si>
  <si>
    <t>七通</t>
    <phoneticPr fontId="3" type="noConversion"/>
  </si>
  <si>
    <t>自定义容积率</t>
  </si>
  <si>
    <t>押一</t>
  </si>
  <si>
    <t>不动产收益法</t>
  </si>
  <si>
    <t>否</t>
  </si>
  <si>
    <t>楼面地价</t>
  </si>
  <si>
    <r>
      <rPr>
        <b/>
        <sz val="11"/>
        <rFont val="仿宋_GB2312"/>
        <family val="3"/>
        <charset val="134"/>
      </rPr>
      <t>估价对象</t>
    </r>
    <r>
      <rPr>
        <b/>
        <sz val="11"/>
        <color theme="9" tint="-0.249977111117893"/>
        <rFont val="仿宋_GB2312"/>
        <family val="3"/>
        <charset val="134"/>
      </rPr>
      <t>办公用房的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</si>
  <si>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办公</t>
    <phoneticPr fontId="26" type="noConversion"/>
  </si>
  <si>
    <t>丰台区吴家村首钢二通产业园区1615-615地块文化创意产业大厦项目</t>
    <phoneticPr fontId="6" type="noConversion"/>
  </si>
  <si>
    <t>40-50</t>
    <phoneticPr fontId="26" type="noConversion"/>
  </si>
  <si>
    <t>多面临街</t>
  </si>
  <si>
    <t>估价对象周边有万科丰科中心、丰台金茂广场、金诚信大厦、汉威国际等，办公楼项目较多，入驻率高，办公集聚程度较好</t>
    <phoneticPr fontId="27" type="noConversion"/>
  </si>
  <si>
    <t>估价对象周边有大成时代中心、万达广场写字楼、泰禾长安中心、紫御国际等，办公楼项目较多，入驻率高，办公集聚程度较好</t>
    <phoneticPr fontId="3" type="noConversion"/>
  </si>
  <si>
    <t>估价对象周边有运通113路、运通114路、436路、481路、531路、611路、959路等多条公共交通线路，距地铁1号线（八宝山站）约2公里，综合评价交通便捷度一般</t>
    <phoneticPr fontId="3" type="noConversion"/>
  </si>
  <si>
    <t>区域自然环境：火车头广场、北京园博园；人文环境：北京市第一中级人民法院、北京市第四中级人民法院；综合评价环境状况较好</t>
    <phoneticPr fontId="3" type="noConversion"/>
  </si>
  <si>
    <r>
      <rPr>
        <sz val="11"/>
        <rFont val="宋体"/>
        <family val="3"/>
        <charset val="134"/>
      </rPr>
      <t>估价对象周边有</t>
    </r>
    <r>
      <rPr>
        <sz val="11"/>
        <rFont val="Arial"/>
        <family val="2"/>
      </rPr>
      <t>740</t>
    </r>
    <r>
      <rPr>
        <sz val="11"/>
        <rFont val="宋体"/>
        <family val="3"/>
        <charset val="134"/>
      </rPr>
      <t>路、快速直达专线</t>
    </r>
    <r>
      <rPr>
        <sz val="11"/>
        <rFont val="Arial"/>
        <family val="2"/>
      </rPr>
      <t>110</t>
    </r>
    <r>
      <rPr>
        <sz val="11"/>
        <rFont val="宋体"/>
        <family val="3"/>
        <charset val="134"/>
      </rPr>
      <t>路、快速直达专线</t>
    </r>
    <r>
      <rPr>
        <sz val="11"/>
        <rFont val="Arial"/>
        <family val="2"/>
      </rPr>
      <t>22</t>
    </r>
    <r>
      <rPr>
        <sz val="11"/>
        <rFont val="宋体"/>
        <family val="3"/>
        <charset val="134"/>
      </rPr>
      <t>路、快速直达专线</t>
    </r>
    <r>
      <rPr>
        <sz val="11"/>
        <rFont val="Arial"/>
        <family val="2"/>
      </rPr>
      <t>95</t>
    </r>
    <r>
      <rPr>
        <sz val="11"/>
        <rFont val="宋体"/>
        <family val="3"/>
        <charset val="134"/>
      </rPr>
      <t>路、特</t>
    </r>
    <r>
      <rPr>
        <sz val="11"/>
        <rFont val="Arial"/>
        <family val="2"/>
      </rPr>
      <t>9</t>
    </r>
    <r>
      <rPr>
        <sz val="11"/>
        <rFont val="宋体"/>
        <family val="3"/>
        <charset val="134"/>
      </rPr>
      <t>路、运通</t>
    </r>
    <r>
      <rPr>
        <sz val="11"/>
        <rFont val="Arial"/>
        <family val="2"/>
      </rPr>
      <t>115</t>
    </r>
    <r>
      <rPr>
        <sz val="11"/>
        <rFont val="宋体"/>
        <family val="3"/>
        <charset val="134"/>
      </rPr>
      <t>路等多条公交线路，距地铁</t>
    </r>
    <r>
      <rPr>
        <sz val="11"/>
        <rFont val="Arial"/>
        <family val="2"/>
      </rPr>
      <t>9</t>
    </r>
    <r>
      <rPr>
        <sz val="11"/>
        <rFont val="宋体"/>
        <family val="3"/>
        <charset val="134"/>
      </rPr>
      <t>号线（丰台科技园站）不足</t>
    </r>
    <r>
      <rPr>
        <sz val="11"/>
        <rFont val="Arial"/>
        <family val="2"/>
      </rPr>
      <t>1</t>
    </r>
    <r>
      <rPr>
        <sz val="11"/>
        <rFont val="宋体"/>
        <family val="3"/>
        <charset val="134"/>
      </rPr>
      <t>公里，综合评价交通便捷度较好</t>
    </r>
    <phoneticPr fontId="27" type="noConversion"/>
  </si>
  <si>
    <r>
      <rPr>
        <sz val="11"/>
        <rFont val="宋体"/>
        <family val="3"/>
        <charset val="134"/>
      </rPr>
      <t>估价对象周边有</t>
    </r>
    <r>
      <rPr>
        <sz val="11"/>
        <rFont val="Arial"/>
        <family val="2"/>
      </rPr>
      <t>67</t>
    </r>
    <r>
      <rPr>
        <sz val="11"/>
        <rFont val="宋体"/>
        <family val="3"/>
        <charset val="134"/>
      </rPr>
      <t>路、</t>
    </r>
    <r>
      <rPr>
        <sz val="11"/>
        <rFont val="Arial"/>
        <family val="2"/>
      </rPr>
      <t>300</t>
    </r>
    <r>
      <rPr>
        <sz val="11"/>
        <rFont val="宋体"/>
        <family val="3"/>
        <charset val="134"/>
      </rPr>
      <t>路、</t>
    </r>
    <r>
      <rPr>
        <sz val="11"/>
        <rFont val="Arial"/>
        <family val="2"/>
      </rPr>
      <t>323</t>
    </r>
    <r>
      <rPr>
        <sz val="11"/>
        <rFont val="宋体"/>
        <family val="3"/>
        <charset val="134"/>
      </rPr>
      <t>路、</t>
    </r>
    <r>
      <rPr>
        <sz val="11"/>
        <rFont val="Arial"/>
        <family val="2"/>
      </rPr>
      <t>349</t>
    </r>
    <r>
      <rPr>
        <sz val="11"/>
        <rFont val="宋体"/>
        <family val="3"/>
        <charset val="134"/>
      </rPr>
      <t>路、</t>
    </r>
    <r>
      <rPr>
        <sz val="11"/>
        <rFont val="Arial"/>
        <family val="2"/>
      </rPr>
      <t>820</t>
    </r>
    <r>
      <rPr>
        <sz val="11"/>
        <rFont val="宋体"/>
        <family val="3"/>
        <charset val="134"/>
      </rPr>
      <t>路、</t>
    </r>
    <r>
      <rPr>
        <sz val="11"/>
        <rFont val="Arial"/>
        <family val="2"/>
      </rPr>
      <t>968</t>
    </r>
    <r>
      <rPr>
        <sz val="11"/>
        <rFont val="宋体"/>
        <family val="3"/>
        <charset val="134"/>
      </rPr>
      <t>路、</t>
    </r>
    <r>
      <rPr>
        <sz val="11"/>
        <rFont val="Arial"/>
        <family val="2"/>
      </rPr>
      <t>977</t>
    </r>
    <r>
      <rPr>
        <sz val="11"/>
        <rFont val="宋体"/>
        <family val="3"/>
        <charset val="134"/>
      </rPr>
      <t>路、特</t>
    </r>
    <r>
      <rPr>
        <sz val="11"/>
        <rFont val="Arial"/>
        <family val="2"/>
      </rPr>
      <t>2</t>
    </r>
    <r>
      <rPr>
        <sz val="11"/>
        <rFont val="宋体"/>
        <family val="3"/>
        <charset val="134"/>
      </rPr>
      <t>路、特</t>
    </r>
    <r>
      <rPr>
        <sz val="11"/>
        <rFont val="Arial"/>
        <family val="2"/>
      </rPr>
      <t>7</t>
    </r>
    <r>
      <rPr>
        <sz val="11"/>
        <rFont val="宋体"/>
        <family val="3"/>
        <charset val="134"/>
      </rPr>
      <t>路、特</t>
    </r>
    <r>
      <rPr>
        <sz val="11"/>
        <rFont val="Arial"/>
        <family val="2"/>
      </rPr>
      <t>8</t>
    </r>
    <r>
      <rPr>
        <sz val="11"/>
        <rFont val="宋体"/>
        <family val="3"/>
        <charset val="134"/>
      </rPr>
      <t>路、运通</t>
    </r>
    <r>
      <rPr>
        <sz val="11"/>
        <rFont val="Arial"/>
        <family val="2"/>
      </rPr>
      <t>103</t>
    </r>
    <r>
      <rPr>
        <sz val="11"/>
        <rFont val="宋体"/>
        <family val="3"/>
        <charset val="134"/>
      </rPr>
      <t>线等多条公交线路，距地铁</t>
    </r>
    <r>
      <rPr>
        <sz val="11"/>
        <rFont val="Arial"/>
        <family val="2"/>
      </rPr>
      <t>9</t>
    </r>
    <r>
      <rPr>
        <sz val="11"/>
        <rFont val="宋体"/>
        <family val="3"/>
        <charset val="134"/>
      </rPr>
      <t>号线与</t>
    </r>
    <r>
      <rPr>
        <sz val="11"/>
        <rFont val="Arial"/>
        <family val="2"/>
      </rPr>
      <t>10</t>
    </r>
    <r>
      <rPr>
        <sz val="11"/>
        <rFont val="宋体"/>
        <family val="3"/>
        <charset val="134"/>
      </rPr>
      <t>号线换乘站（六里桥站）约</t>
    </r>
    <r>
      <rPr>
        <sz val="11"/>
        <rFont val="Arial"/>
        <family val="2"/>
      </rPr>
      <t>1</t>
    </r>
    <r>
      <rPr>
        <sz val="11"/>
        <rFont val="宋体"/>
        <family val="3"/>
        <charset val="134"/>
      </rPr>
      <t>公里，综合评价交通便捷度较好</t>
    </r>
    <phoneticPr fontId="27" type="noConversion"/>
  </si>
  <si>
    <t>区域自然环境：科丰公园；人文环境：汽车博物馆；综合评价环境状况较好</t>
    <phoneticPr fontId="27" type="noConversion"/>
  </si>
  <si>
    <t>区域自然环境：西局玉璞园；人文环境：中国戏曲学院；综合评价环境状况较好</t>
    <phoneticPr fontId="27" type="noConversion"/>
  </si>
  <si>
    <t>写字楼</t>
  </si>
  <si>
    <t>写字楼</t>
    <phoneticPr fontId="27" type="noConversion"/>
  </si>
  <si>
    <t>简单装修</t>
  </si>
  <si>
    <t>简单装修</t>
    <phoneticPr fontId="27" type="noConversion"/>
  </si>
  <si>
    <t>按租金收入计税</t>
  </si>
  <si>
    <r>
      <rPr>
        <sz val="11"/>
        <rFont val="宋体"/>
        <family val="3"/>
        <charset val="134"/>
      </rPr>
      <t>城市次干道</t>
    </r>
    <r>
      <rPr>
        <sz val="11"/>
        <rFont val="Arial"/>
        <family val="2"/>
      </rPr>
      <t>——</t>
    </r>
    <r>
      <rPr>
        <sz val="11"/>
        <rFont val="宋体"/>
        <family val="3"/>
        <charset val="134"/>
      </rPr>
      <t>六圈路</t>
    </r>
    <phoneticPr fontId="27" type="noConversion"/>
  </si>
  <si>
    <r>
      <rPr>
        <sz val="11"/>
        <rFont val="宋体"/>
        <family val="3"/>
        <charset val="134"/>
      </rPr>
      <t>城市次干道</t>
    </r>
    <r>
      <rPr>
        <sz val="11"/>
        <rFont val="Arial"/>
        <family val="2"/>
      </rPr>
      <t>——</t>
    </r>
    <r>
      <rPr>
        <sz val="11"/>
        <rFont val="宋体"/>
        <family val="3"/>
        <charset val="134"/>
      </rPr>
      <t>五圈路</t>
    </r>
    <phoneticPr fontId="27" type="noConversion"/>
  </si>
  <si>
    <t>诺德中心一期</t>
    <phoneticPr fontId="3" type="noConversion"/>
  </si>
  <si>
    <t>华夏幸福创新中心</t>
    <phoneticPr fontId="3" type="noConversion"/>
  </si>
  <si>
    <t>估价对象周边有万科丰科中心、丰台金茂广场、金诚信大厦、华夏幸福创新中心等，办公楼项目较多，入驻率高，办公集聚程度较好</t>
    <phoneticPr fontId="27" type="noConversion"/>
  </si>
</sst>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2"/>
      <color theme="1"/>
      <name val="Adobe 黑体 Std R"/>
      <family val="2"/>
      <charset val="134"/>
    </font>
    <font>
      <sz val="9"/>
      <name val="宋体"/>
      <family val="2"/>
      <charset val="134"/>
      <scheme val="minor"/>
    </font>
    <font>
      <b/>
      <sz val="20"/>
      <color theme="1"/>
      <name val="华文楷体"/>
      <family val="3"/>
      <charset val="134"/>
    </font>
    <font>
      <b/>
      <sz val="12"/>
      <color theme="1"/>
      <name val="仿宋_GB2312"/>
      <family val="3"/>
      <charset val="134"/>
    </font>
    <font>
      <sz val="12"/>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261"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261" fillId="0" borderId="12" xfId="0" applyFont="1" applyBorder="1" applyAlignment="1" applyProtection="1">
      <alignment horizontal="center" vertical="center" wrapText="1"/>
      <protection locked="0"/>
    </xf>
    <xf numFmtId="10" fontId="75" fillId="5" borderId="2" xfId="0" applyNumberFormat="1" applyFont="1" applyFill="1" applyBorder="1" applyAlignment="1" applyProtection="1">
      <alignment horizontal="right"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49" fillId="8" borderId="2"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275" fillId="5" borderId="2" xfId="0" applyFont="1" applyFill="1" applyBorder="1" applyAlignment="1">
      <alignment horizontal="center" vertical="center" wrapText="1"/>
    </xf>
    <xf numFmtId="0" fontId="176"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67" fillId="8" borderId="2" xfId="0" applyFont="1" applyFill="1" applyBorder="1" applyAlignment="1">
      <alignment horizontal="center" vertical="center" wrapText="1"/>
    </xf>
    <xf numFmtId="0" fontId="277" fillId="0" borderId="0" xfId="0" applyFont="1" applyFill="1" applyBorder="1" applyAlignment="1">
      <alignment vertical="center" wrapText="1"/>
    </xf>
    <xf numFmtId="0" fontId="145" fillId="0" borderId="0" xfId="0" applyFont="1">
      <alignment vertical="center"/>
    </xf>
    <xf numFmtId="183" fontId="149" fillId="0" borderId="2" xfId="3" applyNumberFormat="1" applyFont="1" applyBorder="1" applyAlignment="1" applyProtection="1">
      <alignment horizontal="center" vertical="center"/>
      <protection locked="0"/>
    </xf>
    <xf numFmtId="0" fontId="279" fillId="0" borderId="2" xfId="0" applyFont="1" applyBorder="1" applyAlignment="1">
      <alignment horizontal="center" vertical="center" wrapText="1"/>
    </xf>
    <xf numFmtId="0" fontId="84" fillId="8" borderId="2" xfId="0" applyFont="1" applyFill="1" applyBorder="1" applyAlignment="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94" fillId="0" borderId="5" xfId="0" applyFont="1" applyBorder="1" applyAlignment="1">
      <alignment horizontal="center" vertical="center" wrapText="1"/>
    </xf>
    <xf numFmtId="0" fontId="194" fillId="0" borderId="9" xfId="0" applyFont="1" applyBorder="1" applyAlignment="1">
      <alignment horizontal="center" vertical="center" wrapText="1"/>
    </xf>
    <xf numFmtId="0" fontId="278" fillId="5" borderId="2" xfId="0" applyFont="1" applyFill="1" applyBorder="1" applyAlignment="1">
      <alignment horizontal="center" vertical="center" wrapText="1"/>
    </xf>
    <xf numFmtId="0" fontId="277" fillId="0" borderId="19" xfId="0" applyFont="1" applyFill="1" applyBorder="1" applyAlignment="1">
      <alignment horizontal="center" vertical="center" wrapText="1"/>
    </xf>
    <xf numFmtId="0" fontId="277" fillId="0" borderId="61" xfId="0" applyFont="1" applyFill="1" applyBorder="1" applyAlignment="1">
      <alignment horizontal="center" vertical="center" wrapText="1"/>
    </xf>
    <xf numFmtId="0" fontId="149" fillId="8" borderId="2" xfId="0" applyFont="1" applyFill="1" applyBorder="1" applyAlignment="1">
      <alignment horizontal="center" vertical="center" wrapText="1"/>
    </xf>
    <xf numFmtId="0" fontId="149" fillId="8" borderId="10" xfId="0" applyFont="1" applyFill="1" applyBorder="1" applyAlignment="1">
      <alignment horizontal="center" vertical="center" wrapText="1"/>
    </xf>
    <xf numFmtId="0" fontId="149" fillId="8" borderId="21" xfId="0" applyFont="1" applyFill="1" applyBorder="1" applyAlignment="1">
      <alignment horizontal="center" vertical="center" wrapText="1"/>
    </xf>
    <xf numFmtId="0" fontId="149" fillId="8" borderId="10" xfId="0" applyFont="1" applyFill="1" applyBorder="1" applyAlignment="1">
      <alignment horizontal="center" vertical="center"/>
    </xf>
    <xf numFmtId="0" fontId="149" fillId="8" borderId="21" xfId="0" applyFont="1" applyFill="1" applyBorder="1" applyAlignment="1">
      <alignment horizontal="center" vertical="center"/>
    </xf>
    <xf numFmtId="0" fontId="194" fillId="0" borderId="2" xfId="0" applyFont="1" applyBorder="1" applyAlignment="1">
      <alignment horizontal="center" vertical="center" wrapText="1"/>
    </xf>
    <xf numFmtId="0" fontId="277" fillId="0" borderId="0" xfId="0" applyFont="1" applyFill="1" applyBorder="1" applyAlignment="1">
      <alignment horizontal="center" vertical="center" wrapText="1"/>
    </xf>
    <xf numFmtId="0" fontId="167" fillId="8" borderId="2" xfId="0" applyFont="1" applyFill="1" applyBorder="1" applyAlignment="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43" xfId="0" applyNumberFormat="1"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49" fontId="262" fillId="0" borderId="22" xfId="0" applyNumberFormat="1"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580181</xdr:colOff>
      <xdr:row>30</xdr:row>
      <xdr:rowOff>151738</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0"/>
          <a:ext cx="6752381" cy="5295238"/>
        </a:xfrm>
        <a:prstGeom prst="rect">
          <a:avLst/>
        </a:prstGeom>
      </xdr:spPr>
    </xdr:pic>
    <xdr:clientData/>
  </xdr:twoCellAnchor>
  <xdr:twoCellAnchor editAs="oneCell">
    <xdr:from>
      <xdr:col>0</xdr:col>
      <xdr:colOff>0</xdr:colOff>
      <xdr:row>31</xdr:row>
      <xdr:rowOff>0</xdr:rowOff>
    </xdr:from>
    <xdr:to>
      <xdr:col>10</xdr:col>
      <xdr:colOff>18191</xdr:colOff>
      <xdr:row>61</xdr:row>
      <xdr:rowOff>94596</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0" y="5314950"/>
          <a:ext cx="6876191" cy="5238096"/>
        </a:xfrm>
        <a:prstGeom prst="rect">
          <a:avLst/>
        </a:prstGeom>
      </xdr:spPr>
    </xdr:pic>
    <xdr:clientData/>
  </xdr:twoCellAnchor>
  <xdr:twoCellAnchor editAs="oneCell">
    <xdr:from>
      <xdr:col>0</xdr:col>
      <xdr:colOff>0</xdr:colOff>
      <xdr:row>61</xdr:row>
      <xdr:rowOff>66675</xdr:rowOff>
    </xdr:from>
    <xdr:to>
      <xdr:col>10</xdr:col>
      <xdr:colOff>18191</xdr:colOff>
      <xdr:row>92</xdr:row>
      <xdr:rowOff>27916</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0" y="10525125"/>
          <a:ext cx="6876191" cy="5276191"/>
        </a:xfrm>
        <a:prstGeom prst="rect">
          <a:avLst/>
        </a:prstGeom>
      </xdr:spPr>
    </xdr:pic>
    <xdr:clientData/>
  </xdr:twoCellAnchor>
  <xdr:twoCellAnchor editAs="oneCell">
    <xdr:from>
      <xdr:col>0</xdr:col>
      <xdr:colOff>0</xdr:colOff>
      <xdr:row>93</xdr:row>
      <xdr:rowOff>0</xdr:rowOff>
    </xdr:from>
    <xdr:to>
      <xdr:col>7</xdr:col>
      <xdr:colOff>263635</xdr:colOff>
      <xdr:row>119</xdr:row>
      <xdr:rowOff>38100</xdr:rowOff>
    </xdr:to>
    <xdr:pic>
      <xdr:nvPicPr>
        <xdr:cNvPr id="7" name="图片 6"/>
        <xdr:cNvPicPr>
          <a:picLocks noChangeAspect="1"/>
        </xdr:cNvPicPr>
      </xdr:nvPicPr>
      <xdr:blipFill>
        <a:blip xmlns:r="http://schemas.openxmlformats.org/officeDocument/2006/relationships" r:embed="rId4" cstate="print"/>
        <a:stretch>
          <a:fillRect/>
        </a:stretch>
      </xdr:blipFill>
      <xdr:spPr>
        <a:xfrm>
          <a:off x="0" y="15944850"/>
          <a:ext cx="5064235" cy="4495800"/>
        </a:xfrm>
        <a:prstGeom prst="rect">
          <a:avLst/>
        </a:prstGeom>
      </xdr:spPr>
    </xdr:pic>
    <xdr:clientData/>
  </xdr:twoCellAnchor>
  <xdr:twoCellAnchor editAs="oneCell">
    <xdr:from>
      <xdr:col>10</xdr:col>
      <xdr:colOff>0</xdr:colOff>
      <xdr:row>62</xdr:row>
      <xdr:rowOff>0</xdr:rowOff>
    </xdr:from>
    <xdr:to>
      <xdr:col>19</xdr:col>
      <xdr:colOff>201585</xdr:colOff>
      <xdr:row>92</xdr:row>
      <xdr:rowOff>57150</xdr:rowOff>
    </xdr:to>
    <xdr:pic>
      <xdr:nvPicPr>
        <xdr:cNvPr id="8" name="图片 7"/>
        <xdr:cNvPicPr>
          <a:picLocks noChangeAspect="1"/>
        </xdr:cNvPicPr>
      </xdr:nvPicPr>
      <xdr:blipFill>
        <a:blip xmlns:r="http://schemas.openxmlformats.org/officeDocument/2006/relationships" r:embed="rId5" cstate="print"/>
        <a:stretch>
          <a:fillRect/>
        </a:stretch>
      </xdr:blipFill>
      <xdr:spPr>
        <a:xfrm>
          <a:off x="6858000" y="10629900"/>
          <a:ext cx="6373785" cy="5200650"/>
        </a:xfrm>
        <a:prstGeom prst="rect">
          <a:avLst/>
        </a:prstGeom>
      </xdr:spPr>
    </xdr:pic>
    <xdr:clientData/>
  </xdr:twoCellAnchor>
  <xdr:twoCellAnchor editAs="oneCell">
    <xdr:from>
      <xdr:col>10</xdr:col>
      <xdr:colOff>0</xdr:colOff>
      <xdr:row>31</xdr:row>
      <xdr:rowOff>1</xdr:rowOff>
    </xdr:from>
    <xdr:to>
      <xdr:col>19</xdr:col>
      <xdr:colOff>126856</xdr:colOff>
      <xdr:row>62</xdr:row>
      <xdr:rowOff>19050</xdr:rowOff>
    </xdr:to>
    <xdr:pic>
      <xdr:nvPicPr>
        <xdr:cNvPr id="9" name="图片 8"/>
        <xdr:cNvPicPr>
          <a:picLocks noChangeAspect="1"/>
        </xdr:cNvPicPr>
      </xdr:nvPicPr>
      <xdr:blipFill>
        <a:blip xmlns:r="http://schemas.openxmlformats.org/officeDocument/2006/relationships" r:embed="rId6" cstate="print"/>
        <a:stretch>
          <a:fillRect/>
        </a:stretch>
      </xdr:blipFill>
      <xdr:spPr>
        <a:xfrm>
          <a:off x="6858000" y="5314951"/>
          <a:ext cx="6299056" cy="5333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275334</xdr:colOff>
      <xdr:row>25</xdr:row>
      <xdr:rowOff>170893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7133334" cy="4457143"/>
        </a:xfrm>
        <a:prstGeom prst="rect">
          <a:avLst/>
        </a:prstGeom>
      </xdr:spPr>
    </xdr:pic>
    <xdr:clientData/>
  </xdr:twoCellAnchor>
  <xdr:twoCellAnchor editAs="oneCell">
    <xdr:from>
      <xdr:col>11</xdr:col>
      <xdr:colOff>0</xdr:colOff>
      <xdr:row>1</xdr:row>
      <xdr:rowOff>0</xdr:rowOff>
    </xdr:from>
    <xdr:to>
      <xdr:col>24</xdr:col>
      <xdr:colOff>351267</xdr:colOff>
      <xdr:row>31</xdr:row>
      <xdr:rowOff>8881</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7543800" y="171450"/>
          <a:ext cx="9266667" cy="5152381"/>
        </a:xfrm>
        <a:prstGeom prst="rect">
          <a:avLst/>
        </a:prstGeom>
      </xdr:spPr>
    </xdr:pic>
    <xdr:clientData/>
  </xdr:twoCellAnchor>
  <xdr:twoCellAnchor editAs="oneCell">
    <xdr:from>
      <xdr:col>0</xdr:col>
      <xdr:colOff>0</xdr:colOff>
      <xdr:row>26</xdr:row>
      <xdr:rowOff>0</xdr:rowOff>
    </xdr:from>
    <xdr:to>
      <xdr:col>12</xdr:col>
      <xdr:colOff>646591</xdr:colOff>
      <xdr:row>56</xdr:row>
      <xdr:rowOff>8881</xdr:rowOff>
    </xdr:to>
    <xdr:pic>
      <xdr:nvPicPr>
        <xdr:cNvPr id="8" name="图片 7"/>
        <xdr:cNvPicPr>
          <a:picLocks noChangeAspect="1"/>
        </xdr:cNvPicPr>
      </xdr:nvPicPr>
      <xdr:blipFill>
        <a:blip xmlns:r="http://schemas.openxmlformats.org/officeDocument/2006/relationships" r:embed="rId3" cstate="print"/>
        <a:stretch>
          <a:fillRect/>
        </a:stretch>
      </xdr:blipFill>
      <xdr:spPr>
        <a:xfrm>
          <a:off x="0" y="4457700"/>
          <a:ext cx="8876191" cy="5152381"/>
        </a:xfrm>
        <a:prstGeom prst="rect">
          <a:avLst/>
        </a:prstGeom>
      </xdr:spPr>
    </xdr:pic>
    <xdr:clientData/>
  </xdr:twoCellAnchor>
  <xdr:twoCellAnchor editAs="oneCell">
    <xdr:from>
      <xdr:col>0</xdr:col>
      <xdr:colOff>0</xdr:colOff>
      <xdr:row>56</xdr:row>
      <xdr:rowOff>0</xdr:rowOff>
    </xdr:from>
    <xdr:to>
      <xdr:col>13</xdr:col>
      <xdr:colOff>170315</xdr:colOff>
      <xdr:row>83</xdr:row>
      <xdr:rowOff>75612</xdr:rowOff>
    </xdr:to>
    <xdr:pic>
      <xdr:nvPicPr>
        <xdr:cNvPr id="10" name="图片 9"/>
        <xdr:cNvPicPr>
          <a:picLocks noChangeAspect="1"/>
        </xdr:cNvPicPr>
      </xdr:nvPicPr>
      <xdr:blipFill>
        <a:blip xmlns:r="http://schemas.openxmlformats.org/officeDocument/2006/relationships" r:embed="rId4" cstate="print"/>
        <a:stretch>
          <a:fillRect/>
        </a:stretch>
      </xdr:blipFill>
      <xdr:spPr>
        <a:xfrm>
          <a:off x="0" y="9601200"/>
          <a:ext cx="9085715" cy="4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北京市丰台区吴家村首钢二通产业园区1615-615地块文化创意产业大厦项目出让国有建设用地使用权市场价格预评估</v>
      </c>
      <c r="AX2" s="2852"/>
      <c r="AZ2" s="2852"/>
      <c r="BA2" s="2853"/>
      <c r="BC2" s="2853"/>
    </row>
    <row r="3" spans="1:55" s="2854" customFormat="1">
      <c r="A3" s="2833" t="s">
        <v>2661</v>
      </c>
      <c r="B3" s="2836">
        <f>'预评函-封皮'!B40</f>
        <v>0</v>
      </c>
    </row>
    <row r="4" spans="1:55" s="2835" customFormat="1">
      <c r="A4" s="2833" t="s">
        <v>2662</v>
      </c>
      <c r="B4" s="2834" t="str">
        <f>'预评函-封皮'!B46</f>
        <v>叶凌、陈颖</v>
      </c>
      <c r="N4" s="2835" t="str">
        <f>'预评函-1'!A28</f>
        <v>——</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受贵公司委托，我公司对北京市丰台区吴家村首钢二通产业园区1615-615地块文化创意产业大厦项目出让国有建设用地使用权市场价格进行了预评估。</v>
      </c>
      <c r="AM6" s="2858"/>
    </row>
    <row r="7" spans="1:55" s="2832" customFormat="1">
      <c r="A7" s="2833" t="s">
        <v>2657</v>
      </c>
      <c r="B7" s="2834" t="str">
        <f>'预评函-1'!A6</f>
        <v>估价对象为使用的、位于北京市丰台区吴家村首钢二通产业园区1615-615地块文化创意产业大厦项目出让国有建设用地使用权。根据《国有土地使用证》[]，估价对象（分摊）出让国有建设用地使用权面积为12883平方米。根据《建设工程规划许可证》[]、《出让合同》[]，估价对象规划建筑面积为53161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本次评估为委托估价方了解标的物之市场价格提供参考依据而评估出让国有建设用地使用权市场价格。</v>
      </c>
    </row>
    <row r="10" spans="1:55" s="2832" customFormat="1">
      <c r="A10" s="2833" t="s">
        <v>2659</v>
      </c>
      <c r="B10" s="2834" t="str">
        <f>'预评函-1'!A11</f>
        <v>2019年4月15日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根据《国有土地使用证》[]，估价对象（分摊）出让国有建设用地使用权面积为12883平方米。根据《建设工程规划许可证》[]、《出让合同》[]，估价对象规划建筑面积为53161平方米。</v>
      </c>
    </row>
    <row r="16" spans="1:55" s="2832" customFormat="1">
      <c r="A16" s="2833" t="s">
        <v>2669</v>
      </c>
      <c r="B16" s="2834" t="str">
        <f>'预评函-1'!A22</f>
        <v>本次估价对象为出让国有建设用地使用权，《国有土地使用证》[]证载土地终止日期为办公2069年4月14日、车库2069年4月14日。截至估价期日，出让国有建设用地使用权剩余土地使用年限为。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4月15日，在规划利用条件下、设定土地开发程度为红线外“七通”、宗地内场地，设定用途为，剩余土地使用年限为的出让国有建设用地使用权价格。</v>
      </c>
    </row>
    <row r="19" spans="1:48" s="2832" customFormat="1">
      <c r="A19" s="2833" t="s">
        <v>2672</v>
      </c>
      <c r="B19" s="2834" t="str">
        <f>'预评函-1'!A26</f>
        <v>——</v>
      </c>
    </row>
    <row r="20" spans="1:48" s="2832" customFormat="1">
      <c r="A20" s="2833" t="s">
        <v>2673</v>
      </c>
      <c r="B20" s="2834" t="str">
        <f>'预评函-1'!A27</f>
        <v>——</v>
      </c>
    </row>
    <row r="21" spans="1:48" s="2848" customFormat="1" ht="15" thickBot="1">
      <c r="A21" s="2855" t="s">
        <v>2674</v>
      </c>
      <c r="B21" s="2856" t="str">
        <f>'预评函-1'!A28</f>
        <v>——</v>
      </c>
    </row>
    <row r="22" spans="1:48" ht="15" thickTop="1">
      <c r="A22" s="2844" t="s">
        <v>2675</v>
      </c>
      <c r="B22" s="2845"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估价期日：2019年4月15日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12883</v>
      </c>
    </row>
    <row r="44" spans="1:2">
      <c r="A44" s="2833" t="s">
        <v>2740</v>
      </c>
      <c r="B44" s="2834" t="str">
        <f>'预评函-2'!O3</f>
        <v>规划建筑面积/㎡</v>
      </c>
    </row>
    <row r="45" spans="1:2">
      <c r="A45" s="2833" t="s">
        <v>2722</v>
      </c>
      <c r="B45" s="2834">
        <f>'预评函-2'!O5</f>
        <v>53161</v>
      </c>
    </row>
    <row r="46" spans="1:2">
      <c r="A46" s="2833" t="s">
        <v>2723</v>
      </c>
      <c r="B46" s="2834">
        <f ca="1">'预评函-2'!P5</f>
        <v>52360</v>
      </c>
    </row>
    <row r="47" spans="1:2">
      <c r="A47" s="2833" t="s">
        <v>2724</v>
      </c>
      <c r="B47" s="2834">
        <f ca="1">'预评函-2'!Q5</f>
        <v>12689</v>
      </c>
    </row>
    <row r="48" spans="1:2">
      <c r="A48" s="2833" t="s">
        <v>2725</v>
      </c>
      <c r="B48" s="2834">
        <f ca="1">'预评函-2'!R5</f>
        <v>67456</v>
      </c>
    </row>
    <row r="49" spans="1:2">
      <c r="A49" s="2833" t="s">
        <v>2741</v>
      </c>
      <c r="B49" s="2834" t="str">
        <f>'预评函-2'!A6</f>
        <v>——</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t="str">
        <f>'预评函-2'!A8</f>
        <v>——</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2.本次评估设定估价对象宗地权属无争议，未被查封或者以其他形式限制其房地产权利，未设定抵押权等他项权利，不涉及第三方权利义务。</v>
      </c>
    </row>
    <row r="60" spans="1:2">
      <c r="A60" s="2833" t="s">
        <v>2682</v>
      </c>
      <c r="B60" s="2834" t="str">
        <f>'预评函-3'!A9</f>
        <v>——</v>
      </c>
    </row>
    <row r="61" spans="1:2">
      <c r="A61" s="2833" t="s">
        <v>2684</v>
      </c>
      <c r="B61" s="2834" t="str">
        <f>'预评函-3'!A10</f>
        <v>——</v>
      </c>
    </row>
    <row r="62" spans="1:2">
      <c r="A62" s="2833" t="s">
        <v>2683</v>
      </c>
      <c r="B62" s="2834" t="str">
        <f>'预评函-3'!A11</f>
        <v>——</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v>
      </c>
    </row>
    <row r="66" spans="1:2">
      <c r="A66" s="2833" t="s">
        <v>2688</v>
      </c>
      <c r="B66" s="284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叶凌</v>
      </c>
    </row>
    <row r="70" spans="1:2">
      <c r="A70" s="2833" t="s">
        <v>2690</v>
      </c>
      <c r="B70" s="2840">
        <f ca="1">'预评函-3'!B20</f>
        <v>94010078</v>
      </c>
    </row>
    <row r="71" spans="1:2">
      <c r="A71" s="2833" t="s">
        <v>2691</v>
      </c>
      <c r="B71" s="2834" t="str">
        <f>'预评函-3'!A21</f>
        <v>陈颖</v>
      </c>
    </row>
    <row r="72" spans="1:2" s="2848" customFormat="1" ht="15" thickBot="1">
      <c r="A72" s="2855" t="s">
        <v>2691</v>
      </c>
      <c r="B72" s="2861">
        <f ca="1">'预评函-3'!B21</f>
        <v>2004110096</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16" zoomScale="90" zoomScaleNormal="100" zoomScaleSheetLayoutView="90" workbookViewId="0">
      <selection activeCell="F10" sqref="F10"/>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39" t="str">
        <f>IF(B10="北京市","北京市",C10)&amp;F10&amp;B16&amp;"国有建设用地使用权"&amp;B9&amp;"预评估"</f>
        <v>北京市丰台区吴家村首钢二通产业园区1615-615地块文化创意产业大厦项目出让国有建设用地使用权市场价格预评估</v>
      </c>
      <c r="C1" s="3240"/>
      <c r="D1" s="3240"/>
      <c r="E1" s="3240"/>
      <c r="F1" s="3240"/>
      <c r="G1" s="3240"/>
      <c r="H1" s="3240"/>
      <c r="I1" s="3241"/>
      <c r="J1" s="1678"/>
      <c r="K1" s="2419" t="str">
        <f>IF(B10="北京市","北京市",C10)&amp;F10&amp;B16&amp;"国有建设用地使用权"&amp;B9</f>
        <v>北京市丰台区吴家村首钢二通产业园区1615-615地块文化创意产业大厦项目出让国有建设用地使用权市场价格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北京市丰台区吴家村首钢二通产业园区1615-615地块文化创意产业大厦项目出让国有建设用地使用权</v>
      </c>
      <c r="L2" s="1707"/>
      <c r="M2" s="1707"/>
      <c r="N2" s="1678"/>
      <c r="O2" s="1679"/>
      <c r="P2" s="1678"/>
      <c r="Q2" s="1678"/>
      <c r="R2" s="1678"/>
      <c r="S2" s="1678"/>
      <c r="T2" s="1678"/>
      <c r="U2" s="1678"/>
    </row>
    <row r="3" spans="1:21">
      <c r="A3" s="1645" t="s">
        <v>1939</v>
      </c>
      <c r="B3" s="1646"/>
      <c r="C3" s="1647" t="s">
        <v>1995</v>
      </c>
      <c r="D3" s="1646">
        <v>43570</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2992</v>
      </c>
      <c r="C4" s="1830">
        <f ca="1">SUMIF(土地估价师,B4,估价师及机构信息!E3:E24)</f>
        <v>94010078</v>
      </c>
      <c r="D4" s="1827" t="s">
        <v>2993</v>
      </c>
      <c r="E4" s="1830">
        <f ca="1">SUMIF(土地估价师,D4,估价师及机构信息!E3:E24)</f>
        <v>2004110096</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叶凌、陈颖</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2988</v>
      </c>
      <c r="C8" s="1655"/>
      <c r="D8" s="3245"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t="s">
        <v>2994</v>
      </c>
      <c r="C9" s="1659"/>
      <c r="D9" s="3246"/>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1945</v>
      </c>
      <c r="C10" s="1660"/>
      <c r="D10" s="1651"/>
      <c r="E10" s="1661" t="s">
        <v>1946</v>
      </c>
      <c r="F10" s="1662" t="s">
        <v>3088</v>
      </c>
      <c r="G10" s="1729"/>
      <c r="H10" s="1730"/>
      <c r="I10" s="1651"/>
      <c r="J10" s="1678"/>
      <c r="K10" s="1758"/>
      <c r="L10" s="1707"/>
      <c r="M10" s="1707"/>
      <c r="N10" s="1678"/>
      <c r="O10" s="1679"/>
      <c r="P10" s="1678"/>
      <c r="Q10" s="1678"/>
      <c r="R10" s="1678"/>
      <c r="S10" s="1678"/>
      <c r="T10" s="1678"/>
      <c r="U10" s="1678"/>
    </row>
    <row r="11" spans="1:21">
      <c r="A11" s="1681" t="s">
        <v>2000</v>
      </c>
      <c r="B11" s="1682" t="s">
        <v>2995</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42"/>
      <c r="C12" s="3243"/>
      <c r="D12" s="3244"/>
      <c r="E12" s="1683" t="s">
        <v>2061</v>
      </c>
      <c r="F12" s="3260" t="s">
        <v>2888</v>
      </c>
      <c r="G12" s="3261"/>
      <c r="H12" s="3261"/>
      <c r="I12" s="3262"/>
      <c r="J12" s="1678"/>
      <c r="K12" s="1758"/>
      <c r="L12" s="1707"/>
      <c r="M12" s="1707"/>
      <c r="N12" s="1678"/>
      <c r="O12" s="1679"/>
      <c r="P12" s="1678"/>
      <c r="Q12" s="1678"/>
      <c r="R12" s="1678"/>
      <c r="S12" s="1678"/>
      <c r="T12" s="1678"/>
      <c r="U12" s="1678"/>
    </row>
    <row r="13" spans="1:21">
      <c r="A13" s="1671" t="s">
        <v>2059</v>
      </c>
      <c r="B13" s="3242"/>
      <c r="C13" s="3243"/>
      <c r="D13" s="3244"/>
      <c r="E13" s="1683" t="s">
        <v>2061</v>
      </c>
      <c r="F13" s="3260" t="s">
        <v>2889</v>
      </c>
      <c r="G13" s="3261"/>
      <c r="H13" s="3261"/>
      <c r="I13" s="3262"/>
      <c r="J13" s="1678"/>
      <c r="K13" s="1758"/>
      <c r="L13" s="1707"/>
      <c r="M13" s="1707"/>
      <c r="N13" s="1678"/>
      <c r="O13" s="1679"/>
      <c r="P13" s="1678"/>
      <c r="Q13" s="1678"/>
      <c r="R13" s="1678"/>
      <c r="S13" s="1678"/>
      <c r="T13" s="1678"/>
      <c r="U13" s="1678"/>
    </row>
    <row r="14" spans="1:21">
      <c r="A14" s="1645" t="s">
        <v>2062</v>
      </c>
      <c r="B14" s="1683"/>
      <c r="C14" s="1829" t="s">
        <v>2996</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2988</v>
      </c>
      <c r="C16" s="1683" t="s">
        <v>1948</v>
      </c>
      <c r="D16" s="2610" t="s">
        <v>1949</v>
      </c>
      <c r="E16" s="1706"/>
      <c r="F16" s="1706" t="s">
        <v>1677</v>
      </c>
      <c r="G16" s="1706" t="s">
        <v>3000</v>
      </c>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办公2069年4月14日</v>
      </c>
      <c r="P16" s="1683" t="str">
        <f>IF(OR(O16="",Q16=""),"","、")</f>
        <v>、</v>
      </c>
      <c r="Q16" s="2420" t="str">
        <f>IF(G17="","",G16&amp;TEXT(G17,"yyyy年m月d日;;"))</f>
        <v>车库2069年4月14日</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c r="F17" s="1684">
        <v>61832</v>
      </c>
      <c r="G17" s="1684">
        <f>F17</f>
        <v>61832</v>
      </c>
      <c r="H17" s="1684"/>
      <c r="I17" s="1684"/>
      <c r="J17" s="1678"/>
      <c r="K17" s="2419" t="str">
        <f>CONCATENATE(K16,L16,M16,N16,O16,P16,Q16,R16,S16,T16,,U16)</f>
        <v>办公2069年4月14日、车库2069年4月14日</v>
      </c>
      <c r="L17" s="1707"/>
      <c r="M17" s="1707"/>
      <c r="N17" s="1678"/>
      <c r="O17" s="1679"/>
      <c r="P17" s="1678"/>
      <c r="Q17" s="1678"/>
      <c r="R17" s="1678"/>
      <c r="S17" s="1678"/>
      <c r="T17" s="1678"/>
      <c r="U17" s="1678"/>
    </row>
    <row r="18" spans="1:21">
      <c r="A18" s="1747"/>
      <c r="B18" s="1666"/>
      <c r="C18" s="1667" t="s">
        <v>1956</v>
      </c>
      <c r="D18" s="1668"/>
      <c r="E18" s="1668"/>
      <c r="F18" s="1668">
        <v>50</v>
      </c>
      <c r="G18" s="1668">
        <v>50</v>
      </c>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f>IF(B16="出让",IF(F17="","",ROUNDDOWN(MIN((F17-$D$3)/365,F18),2)),F18)</f>
        <v>50</v>
      </c>
      <c r="G19" s="1669">
        <f>IF(B16="出让",IF(G17="","",ROUNDDOWN(MIN((G17-$D$3)/365,G18),2)),G18)</f>
        <v>50</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57"/>
      <c r="E20" s="3258"/>
      <c r="F20" s="3258"/>
      <c r="G20" s="3258"/>
      <c r="H20" s="3258"/>
      <c r="I20" s="3259"/>
      <c r="J20" s="1678"/>
      <c r="K20" s="1758"/>
      <c r="L20" s="1707"/>
      <c r="M20" s="1707"/>
      <c r="N20" s="1678"/>
      <c r="O20" s="1679"/>
      <c r="P20" s="1678"/>
      <c r="Q20" s="1678"/>
      <c r="R20" s="1678"/>
      <c r="S20" s="1678"/>
      <c r="T20" s="1678"/>
      <c r="U20" s="1678"/>
    </row>
    <row r="21" spans="1:21">
      <c r="A21" s="1747" t="s">
        <v>1958</v>
      </c>
      <c r="B21" s="1748" t="s">
        <v>1959</v>
      </c>
      <c r="C21" s="1743">
        <f>'数据-汇总表'!E3</f>
        <v>53161</v>
      </c>
      <c r="D21" s="1744" t="s">
        <v>1960</v>
      </c>
      <c r="E21" s="3247" t="s">
        <v>1998</v>
      </c>
      <c r="F21" s="3248"/>
      <c r="G21" s="3248"/>
      <c r="H21" s="3248"/>
      <c r="I21" s="3249"/>
      <c r="J21" s="1678"/>
      <c r="K21" s="1758"/>
      <c r="L21" s="1707"/>
      <c r="M21" s="1707"/>
      <c r="N21" s="1678"/>
      <c r="O21" s="1679"/>
      <c r="P21" s="1678"/>
      <c r="Q21" s="1678"/>
      <c r="R21" s="1678"/>
      <c r="S21" s="1678"/>
      <c r="T21" s="1678"/>
      <c r="U21" s="1678"/>
    </row>
    <row r="22" spans="1:21">
      <c r="A22" s="3096" t="s">
        <v>952</v>
      </c>
      <c r="B22" s="1645" t="s">
        <v>1961</v>
      </c>
      <c r="C22" s="1670">
        <f>'数据-汇总表'!D3</f>
        <v>12883</v>
      </c>
      <c r="D22" s="1671" t="s">
        <v>1960</v>
      </c>
      <c r="E22" s="3247" t="s">
        <v>2890</v>
      </c>
      <c r="F22" s="3248"/>
      <c r="G22" s="3248"/>
      <c r="H22" s="3248"/>
      <c r="I22" s="3249"/>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50" t="s">
        <v>1966</v>
      </c>
      <c r="C24" s="3251"/>
      <c r="D24" s="3252" t="s">
        <v>1967</v>
      </c>
      <c r="E24" s="3253"/>
      <c r="F24" s="1692" t="s">
        <v>1968</v>
      </c>
      <c r="G24" s="1678"/>
      <c r="H24" s="1678"/>
      <c r="I24" s="1691"/>
      <c r="J24" s="1678"/>
      <c r="K24" s="3238"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38"/>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38"/>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65" t="s">
        <v>2001</v>
      </c>
      <c r="B31" s="1748" t="s">
        <v>2002</v>
      </c>
      <c r="C31" s="3263"/>
      <c r="D31" s="3264"/>
      <c r="E31" s="1678"/>
      <c r="F31" s="1678"/>
      <c r="G31" s="1678"/>
      <c r="H31" s="1678"/>
      <c r="I31" s="1691"/>
      <c r="J31" s="1678"/>
      <c r="K31" s="2422"/>
      <c r="L31" s="1678"/>
      <c r="M31" s="1678"/>
      <c r="N31" s="1678"/>
      <c r="O31" s="1678"/>
      <c r="P31" s="1678"/>
      <c r="Q31" s="1678"/>
      <c r="R31" s="1678"/>
      <c r="S31" s="1678"/>
      <c r="T31" s="1678"/>
      <c r="U31" s="1678"/>
    </row>
    <row r="32" spans="1:21">
      <c r="A32" s="3265"/>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5"/>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6"/>
      <c r="B34" s="1645" t="s">
        <v>2005</v>
      </c>
      <c r="C34" s="3267"/>
      <c r="D34" s="3268"/>
      <c r="E34" s="1678"/>
      <c r="F34" s="1678"/>
      <c r="G34" s="1678"/>
      <c r="H34" s="1678"/>
      <c r="I34" s="1691"/>
      <c r="J34" s="1678"/>
      <c r="K34" s="2422"/>
      <c r="L34" s="1678"/>
      <c r="M34" s="1678"/>
      <c r="N34" s="1678"/>
      <c r="O34" s="1678"/>
      <c r="P34" s="1678"/>
      <c r="Q34" s="1678"/>
      <c r="R34" s="1678"/>
      <c r="S34" s="1678"/>
      <c r="T34" s="1678"/>
      <c r="U34" s="1678"/>
    </row>
    <row r="35" spans="1:21">
      <c r="A35" s="3269" t="s">
        <v>847</v>
      </c>
      <c r="B35" s="1706"/>
      <c r="C35" s="1760" t="str">
        <f>IF(B35="场地平整","——","具体情况：")</f>
        <v>具体情况：</v>
      </c>
      <c r="D35" s="3271"/>
      <c r="E35" s="3272"/>
      <c r="F35" s="3272"/>
      <c r="G35" s="3272"/>
      <c r="H35" s="3272"/>
      <c r="I35" s="3273"/>
      <c r="J35" s="1678"/>
      <c r="K35" s="1759"/>
      <c r="L35" s="1707"/>
      <c r="M35" s="1707"/>
      <c r="N35" s="1678"/>
      <c r="O35" s="1679"/>
      <c r="P35" s="1678"/>
      <c r="Q35" s="1678"/>
      <c r="R35" s="1678"/>
      <c r="S35" s="1678"/>
      <c r="T35" s="1678"/>
      <c r="U35" s="1678"/>
    </row>
    <row r="36" spans="1:21">
      <c r="A36" s="3265"/>
      <c r="B36" s="3274" t="s">
        <v>2054</v>
      </c>
      <c r="C36" s="3275"/>
      <c r="D36" s="1776"/>
      <c r="E36" s="3276"/>
      <c r="F36" s="3276"/>
      <c r="G36" s="1671" t="str">
        <f>IF(B35="场地未平整","估价结果处理","")</f>
        <v/>
      </c>
      <c r="H36" s="3277"/>
      <c r="I36" s="3277"/>
      <c r="J36" s="1678"/>
      <c r="K36" s="1759"/>
      <c r="L36" s="1707"/>
      <c r="M36" s="1707"/>
      <c r="N36" s="1678"/>
      <c r="O36" s="1679"/>
      <c r="P36" s="1678"/>
      <c r="Q36" s="1678"/>
      <c r="R36" s="1678"/>
      <c r="S36" s="1678"/>
      <c r="T36" s="1678"/>
      <c r="U36" s="1678"/>
    </row>
    <row r="37" spans="1:21" ht="28.5">
      <c r="A37" s="3265"/>
      <c r="B37" s="3254"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5"/>
      <c r="B38" s="3255"/>
      <c r="C38" s="1653" t="s">
        <v>850</v>
      </c>
      <c r="D38" s="1775">
        <f>ROUNDDOWN(MIN(('数据-取费表'!$B$2-D37)/365,D34),1)</f>
        <v>119.3</v>
      </c>
      <c r="E38" s="1711" t="s">
        <v>851</v>
      </c>
      <c r="F38" s="1678"/>
      <c r="G38" s="1678"/>
      <c r="H38" s="1678"/>
      <c r="I38" s="1691"/>
      <c r="J38" s="1678"/>
      <c r="K38" s="1759"/>
      <c r="L38" s="1678"/>
      <c r="M38" s="1678"/>
      <c r="N38" s="1678"/>
      <c r="O38" s="1678"/>
      <c r="P38" s="1678"/>
      <c r="Q38" s="1678"/>
      <c r="R38" s="1678"/>
      <c r="S38" s="1678"/>
      <c r="T38" s="1678"/>
      <c r="U38" s="1678"/>
    </row>
    <row r="39" spans="1:21">
      <c r="A39" s="3266"/>
      <c r="B39" s="3256"/>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37" t="s">
        <v>1985</v>
      </c>
      <c r="T40" s="1715" t="str">
        <f>NUMBERSTRING(7-K40,1)&amp;"通"</f>
        <v>七通</v>
      </c>
      <c r="U40" s="1678"/>
    </row>
    <row r="41" spans="1:21">
      <c r="A41" s="1647"/>
      <c r="B41" s="3270" t="s">
        <v>1721</v>
      </c>
      <c r="C41" s="3270"/>
      <c r="D41" s="3270"/>
      <c r="E41" s="3270"/>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37"/>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t="s">
        <v>1409</v>
      </c>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t="s">
        <v>1161</v>
      </c>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2891</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AN13" activePane="bottomRight" state="frozen"/>
      <selection pane="topRight" activeCell="E1" sqref="E1"/>
      <selection pane="bottomLeft" activeCell="A12" sqref="A12"/>
      <selection pane="bottomRight" activeCell="AN14" sqref="AN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12883</v>
      </c>
      <c r="B3" s="22">
        <f>IF(C3="否",G5-AT5,G5)</f>
        <v>53161</v>
      </c>
      <c r="C3" s="23" t="s">
        <v>3084</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53161</v>
      </c>
      <c r="H5" s="27">
        <f t="shared" ref="H5:AT5" si="0">SUM(H13:H641)</f>
        <v>53161</v>
      </c>
      <c r="I5" s="27">
        <f t="shared" si="0"/>
        <v>44858</v>
      </c>
      <c r="J5" s="27">
        <f t="shared" si="0"/>
        <v>0</v>
      </c>
      <c r="K5" s="27">
        <f t="shared" si="0"/>
        <v>8303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53161</v>
      </c>
      <c r="BA5" s="29">
        <f t="shared" si="1"/>
        <v>53161</v>
      </c>
      <c r="BB5" s="29">
        <f t="shared" si="1"/>
        <v>44858</v>
      </c>
      <c r="BC5" s="29">
        <f t="shared" si="1"/>
        <v>8303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12883</v>
      </c>
      <c r="F6" s="27" t="s">
        <v>1</v>
      </c>
      <c r="G6" s="27" t="s">
        <v>2</v>
      </c>
      <c r="H6" s="33">
        <f>SUMIF(I$12:AB$12,"总值",I6:AB6)</f>
        <v>12883</v>
      </c>
      <c r="I6" s="27">
        <f t="shared" ref="I6:AB6" si="2">ROUND($A$3*I5/$B$3,2)</f>
        <v>10870.86</v>
      </c>
      <c r="J6" s="27">
        <f t="shared" si="2"/>
        <v>0</v>
      </c>
      <c r="K6" s="27">
        <f t="shared" si="2"/>
        <v>2012.14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12883</v>
      </c>
      <c r="AZ6" s="27" t="s">
        <v>3</v>
      </c>
      <c r="BA6" s="27">
        <f>ROUND($AY$6*BA5/$AZ$5,2)</f>
        <v>12883</v>
      </c>
      <c r="BB6" s="27">
        <f>ROUND($AY$6*BB5/$AZ$5,2)</f>
        <v>10870.86</v>
      </c>
      <c r="BC6" s="27">
        <f t="shared" ref="BC6:BH6" si="4">ROUND($AY$6*BC5/$AZ$5,2)</f>
        <v>2012.14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2997</v>
      </c>
      <c r="J9" s="51"/>
      <c r="K9" s="2971" t="s">
        <v>2999</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1677</v>
      </c>
      <c r="J10" s="51"/>
      <c r="K10" s="2973" t="s">
        <v>3000</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2998</v>
      </c>
      <c r="J11" s="71"/>
      <c r="K11" s="2972" t="s">
        <v>3000</v>
      </c>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办公</v>
      </c>
      <c r="BC11" s="50" t="str">
        <f>K10</f>
        <v>车库</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办公楼</v>
      </c>
      <c r="BC12" s="79" t="str">
        <f>K11</f>
        <v>车库</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10870.86</v>
      </c>
      <c r="F13" s="81"/>
      <c r="G13" s="82">
        <f t="shared" ref="G13:G20" si="7">H13+AC13+AT13</f>
        <v>44858</v>
      </c>
      <c r="H13" s="33">
        <f t="shared" ref="H13:H20" si="8">SUMIF(I$12:AB$12,"总值",I13:AB13)</f>
        <v>44858</v>
      </c>
      <c r="I13" s="2970">
        <v>44858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10870.86</v>
      </c>
      <c r="AZ13" s="27">
        <f t="shared" ref="AZ13:AZ20" si="12">BA13+BL13</f>
        <v>44858</v>
      </c>
      <c r="BA13" s="27">
        <f t="shared" ref="BA13:BA20" si="13">SUM(BB13:BK13)</f>
        <v>44858</v>
      </c>
      <c r="BB13" s="27">
        <f t="shared" ref="BB13:BB20" si="14">IF($D13="是",I13-J13,0)</f>
        <v>44858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2012.14</v>
      </c>
      <c r="F14" s="81"/>
      <c r="G14" s="82">
        <f t="shared" si="7"/>
        <v>8303</v>
      </c>
      <c r="H14" s="33">
        <f t="shared" si="8"/>
        <v>8303</v>
      </c>
      <c r="I14" s="2970"/>
      <c r="J14" s="2970"/>
      <c r="K14" s="2970">
        <v>8303</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2012.14</v>
      </c>
      <c r="AZ14" s="27">
        <f t="shared" si="12"/>
        <v>8303</v>
      </c>
      <c r="BA14" s="27">
        <f t="shared" si="13"/>
        <v>8303</v>
      </c>
      <c r="BB14" s="27">
        <f t="shared" si="14"/>
        <v>0</v>
      </c>
      <c r="BC14" s="27">
        <f t="shared" si="15"/>
        <v>8303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8" t="s">
        <v>0</v>
      </c>
      <c r="B1" s="3278" t="s">
        <v>4</v>
      </c>
      <c r="C1" s="3278" t="s">
        <v>5</v>
      </c>
      <c r="D1" s="3279" t="s">
        <v>40</v>
      </c>
      <c r="E1" s="3279" t="s">
        <v>41</v>
      </c>
      <c r="F1" s="3279"/>
      <c r="G1" s="3279"/>
      <c r="H1" s="3279"/>
      <c r="I1" s="3279"/>
      <c r="J1" s="3279"/>
      <c r="K1" s="3279"/>
      <c r="L1" s="3279"/>
      <c r="M1" s="3279"/>
    </row>
    <row r="2" spans="1:13" ht="27" customHeight="1">
      <c r="A2" s="3278"/>
      <c r="B2" s="3278"/>
      <c r="C2" s="3278"/>
      <c r="D2" s="3279"/>
      <c r="E2" s="3279" t="s">
        <v>24</v>
      </c>
      <c r="F2" s="3279" t="s">
        <v>25</v>
      </c>
      <c r="G2" s="3279"/>
      <c r="H2" s="3279"/>
      <c r="I2" s="3279"/>
      <c r="J2" s="3279" t="s">
        <v>26</v>
      </c>
      <c r="K2" s="3279"/>
      <c r="L2" s="3279"/>
      <c r="M2" s="3279"/>
    </row>
    <row r="3" spans="1:13" ht="28.5">
      <c r="A3" s="3278"/>
      <c r="B3" s="3278"/>
      <c r="C3" s="3278"/>
      <c r="D3" s="3279"/>
      <c r="E3" s="32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9" t="s">
        <v>42</v>
      </c>
      <c r="B9" s="3279"/>
      <c r="C9" s="32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I33" sqref="I3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89" t="s">
        <v>203</v>
      </c>
      <c r="B2" s="3289"/>
      <c r="C2" s="3289"/>
      <c r="D2" s="1960" t="s">
        <v>204</v>
      </c>
      <c r="E2" s="106" t="s">
        <v>205</v>
      </c>
      <c r="F2" s="1969"/>
      <c r="G2" s="1194"/>
      <c r="H2" s="1195"/>
      <c r="I2" s="1196" t="s">
        <v>857</v>
      </c>
      <c r="J2" s="1969"/>
      <c r="K2" s="1969"/>
      <c r="L2" s="1969"/>
    </row>
    <row r="3" spans="1:16" ht="15.75" thickBot="1">
      <c r="A3" s="3290" t="s">
        <v>206</v>
      </c>
      <c r="B3" s="3290"/>
      <c r="C3" s="3290"/>
      <c r="D3" s="107">
        <f>'数据-基础表'!AY6</f>
        <v>12883</v>
      </c>
      <c r="E3" s="107">
        <f>'数据-基础表'!AZ5</f>
        <v>53161</v>
      </c>
      <c r="F3" s="1969"/>
      <c r="G3" s="280" t="s">
        <v>858</v>
      </c>
      <c r="H3" s="275" t="s">
        <v>859</v>
      </c>
      <c r="I3" s="1961">
        <f>ROUND('数据-基础表'!B3/'数据-基础表'!A3,2)</f>
        <v>4.13</v>
      </c>
      <c r="J3" s="1969"/>
      <c r="K3" s="1969"/>
      <c r="L3" s="1969"/>
    </row>
    <row r="4" spans="1:16" ht="15">
      <c r="A4" s="3291"/>
      <c r="B4" s="3292"/>
      <c r="C4" s="3293"/>
      <c r="D4" s="108" t="s">
        <v>204</v>
      </c>
      <c r="E4" s="109" t="s">
        <v>205</v>
      </c>
      <c r="F4" s="1969"/>
      <c r="G4" s="1197"/>
      <c r="H4" s="275" t="s">
        <v>860</v>
      </c>
      <c r="I4" s="1961">
        <f>ROUND(SUMIF('数据-基础表'!I9:AS9,"地上",'数据-基础表'!I5:AS5)/'数据-基础表'!A3,2)</f>
        <v>3.48</v>
      </c>
      <c r="J4" s="1969"/>
      <c r="K4" s="1969"/>
      <c r="L4" s="1969"/>
    </row>
    <row r="5" spans="1:16">
      <c r="A5" s="110" t="s">
        <v>207</v>
      </c>
      <c r="B5" s="3294" t="s">
        <v>230</v>
      </c>
      <c r="C5" s="3294"/>
      <c r="D5" s="111">
        <f>ROUND($D$3*E5/$E$3,2)</f>
        <v>0</v>
      </c>
      <c r="E5" s="112">
        <f>SUMIF('数据-基础表'!$11:$11,"住宅",'数据-基础表'!$5:$5)</f>
        <v>0</v>
      </c>
      <c r="F5" s="1969"/>
      <c r="G5" s="280" t="s">
        <v>861</v>
      </c>
      <c r="H5" s="275" t="s">
        <v>859</v>
      </c>
      <c r="I5" s="1961">
        <f>ROUND(E31/D31,2)</f>
        <v>4.13</v>
      </c>
      <c r="J5" s="1969"/>
      <c r="K5" s="1969"/>
      <c r="L5" s="1969"/>
    </row>
    <row r="6" spans="1:16" ht="15" thickBot="1">
      <c r="A6" s="113"/>
      <c r="B6" s="3294" t="s">
        <v>208</v>
      </c>
      <c r="C6" s="3294"/>
      <c r="D6" s="111">
        <f>ROUND($D$3*E6/$E$3,2)</f>
        <v>12883</v>
      </c>
      <c r="E6" s="112">
        <f>E3-E5</f>
        <v>53161</v>
      </c>
      <c r="F6" s="1969"/>
      <c r="G6" s="1197"/>
      <c r="H6" s="275" t="s">
        <v>860</v>
      </c>
      <c r="I6" s="1961">
        <f>ROUND(F31/D31,2)</f>
        <v>3.48</v>
      </c>
      <c r="J6" s="1969"/>
      <c r="K6" s="1969"/>
      <c r="L6" s="1969"/>
    </row>
    <row r="7" spans="1:16" ht="15">
      <c r="A7" s="3286"/>
      <c r="B7" s="3287"/>
      <c r="C7" s="3288"/>
      <c r="D7" s="108" t="s">
        <v>204</v>
      </c>
      <c r="E7" s="114" t="s">
        <v>231</v>
      </c>
      <c r="F7" s="1969"/>
      <c r="G7" s="1152" t="s">
        <v>1645</v>
      </c>
      <c r="H7" s="1153"/>
      <c r="I7" s="1831">
        <v>3.5</v>
      </c>
      <c r="J7" s="1969"/>
      <c r="K7" s="1969"/>
      <c r="L7" s="1969"/>
    </row>
    <row r="8" spans="1:16">
      <c r="A8" s="110" t="s">
        <v>209</v>
      </c>
      <c r="B8" s="115" t="s">
        <v>210</v>
      </c>
      <c r="C8" s="111" t="s">
        <v>211</v>
      </c>
      <c r="D8" s="111">
        <f t="shared" ref="D8:D15" si="0">ROUND($D$3*E8/$E$3,2)</f>
        <v>10870.86</v>
      </c>
      <c r="E8" s="116">
        <f>SUMIF('数据-基础表'!BB10:BK10,"地上",'数据-基础表'!BB5:BK5)</f>
        <v>44858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2012.14</v>
      </c>
      <c r="E13" s="116">
        <f>SUMPRODUCT(('数据-基础表'!BB10:BK10="地下")*('数据-基础表'!BB11:BK11="车库")*('数据-基础表'!BB5:BK5))</f>
        <v>8303</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12883</v>
      </c>
      <c r="E16" s="120">
        <f>SUM(E8:E15)</f>
        <v>53161</v>
      </c>
      <c r="F16" s="1969"/>
      <c r="G16" s="1971"/>
      <c r="H16" s="968" t="s">
        <v>219</v>
      </c>
      <c r="I16" s="969"/>
      <c r="J16" s="1969"/>
      <c r="K16" s="3280" t="s">
        <v>2566</v>
      </c>
      <c r="L16" s="3281"/>
      <c r="M16" s="3281"/>
      <c r="N16" s="3281"/>
      <c r="O16" s="3281"/>
      <c r="P16" s="3282"/>
    </row>
    <row r="17" spans="1:19" ht="15">
      <c r="A17" s="121" t="s">
        <v>216</v>
      </c>
      <c r="B17" s="122" t="s">
        <v>217</v>
      </c>
      <c r="C17" s="2283" t="s">
        <v>2313</v>
      </c>
      <c r="D17" s="108" t="s">
        <v>204</v>
      </c>
      <c r="E17" s="124" t="s">
        <v>205</v>
      </c>
      <c r="F17" s="125"/>
      <c r="G17" s="1362"/>
      <c r="H17" s="970" t="s">
        <v>218</v>
      </c>
      <c r="I17" s="971" t="s">
        <v>2312</v>
      </c>
      <c r="J17" s="1969"/>
      <c r="K17" s="3283" t="s">
        <v>2567</v>
      </c>
      <c r="L17" s="3284"/>
      <c r="M17" s="3285"/>
      <c r="N17" s="3283" t="s">
        <v>2568</v>
      </c>
      <c r="O17" s="3284"/>
      <c r="P17" s="3285"/>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3001</v>
      </c>
      <c r="D19" s="111">
        <f t="shared" ref="D19:D26" si="1">ROUND($D$3*E19/$E$3,2)</f>
        <v>10870.86</v>
      </c>
      <c r="E19" s="134">
        <f t="shared" ref="E19:E26" si="2">SUM(F19:G19)</f>
        <v>44858</v>
      </c>
      <c r="F19" s="135">
        <f>'数据-基础表'!I5</f>
        <v>44858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10870.86</v>
      </c>
      <c r="S19" s="2286">
        <f t="shared" si="5"/>
        <v>44858</v>
      </c>
    </row>
    <row r="20" spans="1:19">
      <c r="A20" s="138"/>
      <c r="B20" s="115" t="s">
        <v>226</v>
      </c>
      <c r="C20" s="2977" t="s">
        <v>3002</v>
      </c>
      <c r="D20" s="111">
        <f t="shared" si="1"/>
        <v>2012.14</v>
      </c>
      <c r="E20" s="134">
        <f t="shared" si="2"/>
        <v>8303</v>
      </c>
      <c r="F20" s="135"/>
      <c r="G20" s="1364">
        <f>'数据-基础表'!K5</f>
        <v>8303</v>
      </c>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2012.14</v>
      </c>
      <c r="S20" s="2286">
        <f t="shared" si="5"/>
        <v>8303</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29.25" thickBot="1">
      <c r="A27" s="138"/>
      <c r="B27" s="111"/>
      <c r="C27" s="127" t="s">
        <v>215</v>
      </c>
      <c r="D27" s="134">
        <f>SUM(D19:D26)</f>
        <v>12883</v>
      </c>
      <c r="E27" s="143">
        <f>IF(SUM(E19:E26)='数据-基础表'!BA5,SUM(E19:E26),IF(F27="地上面积有误","面积有误","地下面积有误"))</f>
        <v>53161</v>
      </c>
      <c r="F27" s="134">
        <f>IF(SUM(F19:F26)=E8,SUM(F19:F26),"地上面积有误")</f>
        <v>44858</v>
      </c>
      <c r="G27" s="112">
        <f>SUM(G19:G26)</f>
        <v>8303</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12883</v>
      </c>
      <c r="S27" s="275">
        <f>IF(SUM(S19:S26)=$E$3,SUM(S19:S26),SUM(S19:S26)&amp;"误差"&amp;ROUND(SUM(S19:S26)-E3,2))</f>
        <v>53161</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12883</v>
      </c>
      <c r="E31" s="1368">
        <f>E27+E30</f>
        <v>53161</v>
      </c>
      <c r="F31" s="1369">
        <f>F27+F30</f>
        <v>44858</v>
      </c>
      <c r="G31" s="1370">
        <f>G27+G30</f>
        <v>8303</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43570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办公</v>
      </c>
      <c r="B6" s="2322" t="str">
        <f>IF(A6=0,"","经营性")</f>
        <v>经营性</v>
      </c>
      <c r="C6" s="173" t="s">
        <v>1677</v>
      </c>
      <c r="D6" s="2293">
        <f>SUMIF(项目基本情况!D$15:I$15,C6,项目基本情况!D$18:I$18)</f>
        <v>50</v>
      </c>
      <c r="E6" s="2294">
        <f>IF(B6="","",SUMIF(项目基本情况!D$15:I$15,C6,项目基本情况!D$17:I$17))</f>
        <v>61832</v>
      </c>
      <c r="F6" s="174">
        <f>SUMIF(项目基本情况!D$15:I$15,C6,项目基本情况!D$19:I$19)</f>
        <v>50</v>
      </c>
      <c r="G6" s="175">
        <f>IF(ISERROR(ROUND(POWER(1+H6,D6-F6)*(POWER(1+H6,F6)-1)/(POWER(1+H6,D6)-1),3)),0,ROUND(POWER(1+H6,D6-F6)*(POWER(1+H6,F6)-1)/(POWER(1+H6,D6)-1),3))</f>
        <v>1</v>
      </c>
      <c r="H6" s="2978">
        <v>0.04</v>
      </c>
      <c r="I6" s="2978">
        <v>0.05</v>
      </c>
      <c r="J6" s="176">
        <v>7.0000000000000007E-2</v>
      </c>
      <c r="K6" s="179">
        <f>SUMIF('数据-汇总表'!C$19:C$33,'数据-取费表'!A6,'数据-汇总表'!E$19:E$33)</f>
        <v>44858</v>
      </c>
      <c r="L6" s="2979">
        <v>3000</v>
      </c>
      <c r="M6" s="177">
        <f t="shared" ref="M6:M14" si="0">ROUND(K6*L6/10000,0)</f>
        <v>13457</v>
      </c>
      <c r="N6" s="2980">
        <v>0</v>
      </c>
      <c r="O6" s="177">
        <f>IF($N$5="成新度","——",ROUND(M6*N6,0))</f>
        <v>0</v>
      </c>
      <c r="P6" s="178">
        <f>IF($N$5="成新度","——",M6-O6)</f>
        <v>13457</v>
      </c>
      <c r="Q6" s="2981">
        <v>0.2</v>
      </c>
      <c r="R6" s="179">
        <f>SUMIF('数据-汇总表'!C$19:C$33,A6,'数据-汇总表'!R$19:R$33)</f>
        <v>10870.86</v>
      </c>
      <c r="S6" s="132">
        <f>IF('数据-汇总表'!$I$17="按面积比例",SUMIF('数据-汇总表'!C$19:C$33,A6,'数据-汇总表'!K$19:K$33),SUMIF('数据-汇总表'!C$19:C$33,A6,'数据-汇总表'!N$19:N$33))</f>
        <v>0</v>
      </c>
      <c r="T6" s="2219" t="str">
        <f>IF($T$4="按面积比例",IF(ISERROR(ROUND($M$14*S6/S$16,0)),"0",ROUND($M$14*S6/S$16,0)),"需自行计算录入")</f>
        <v>0</v>
      </c>
      <c r="U6" s="180">
        <f>'不动产比较法-办公'!C49</f>
        <v>5.6</v>
      </c>
      <c r="V6" s="181">
        <v>0</v>
      </c>
      <c r="W6" s="181">
        <v>0.05</v>
      </c>
      <c r="X6" s="2306"/>
      <c r="Y6" s="182">
        <v>1</v>
      </c>
      <c r="Z6" s="183"/>
      <c r="AA6" s="176"/>
      <c r="AB6" s="176"/>
      <c r="AC6" s="2309"/>
      <c r="AD6" s="184"/>
      <c r="AE6" s="972">
        <f ca="1">IF(AN6="",0,SUMIF(INDIRECT("'"&amp;AN6&amp;"'"&amp;"!E:E"),$AE$5,INDIRECT("'"&amp;AN6&amp;"'"&amp;"!F:F")))</f>
        <v>50</v>
      </c>
      <c r="AF6" s="141">
        <v>0</v>
      </c>
      <c r="AG6" s="1209">
        <f ca="1">IF(AF6="",0,AE6-AF6)</f>
        <v>50</v>
      </c>
      <c r="AH6" s="141">
        <f>'数据-汇总表'!F19</f>
        <v>44858</v>
      </c>
      <c r="AI6" s="187">
        <v>365</v>
      </c>
      <c r="AJ6" s="188"/>
      <c r="AK6" s="189">
        <v>1.4999999999999999E-2</v>
      </c>
      <c r="AL6" s="190">
        <v>1.5E-3</v>
      </c>
      <c r="AM6" s="2992">
        <v>0.01</v>
      </c>
      <c r="AN6" s="2356" t="s">
        <v>3083</v>
      </c>
      <c r="AO6" s="1985"/>
      <c r="AP6" s="1200">
        <f>ROUND(1-1/(1+H6)^F6,3)</f>
        <v>0.85899999999999999</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车库</v>
      </c>
      <c r="B7" s="2322" t="str">
        <f t="shared" ref="B7:B13" si="1">IF(A7=0,"","经营性")</f>
        <v>经营性</v>
      </c>
      <c r="C7" s="173" t="s">
        <v>3000</v>
      </c>
      <c r="D7" s="2293">
        <f>SUMIF(项目基本情况!D$15:I$15,C7,项目基本情况!D$18:I$18)</f>
        <v>50</v>
      </c>
      <c r="E7" s="2294">
        <f>IF(B7="","",SUMIF(项目基本情况!D$15:I$15,C7,项目基本情况!D$17:I$17))</f>
        <v>61832</v>
      </c>
      <c r="F7" s="174">
        <f>SUMIF(项目基本情况!D$15:I$15,C7,项目基本情况!D$19:I$19)</f>
        <v>50</v>
      </c>
      <c r="G7" s="175">
        <f t="shared" ref="G7:G11" si="2">IF(ISERROR(ROUND(POWER(1+H7,D7-F7)*(POWER(1+H7,F7)-1)/(POWER(1+H7,D7)-1),3)),0,ROUND(POWER(1+H7,D7-F7)*(POWER(1+H7,F7)-1)/(POWER(1+H7,D7)-1),3))</f>
        <v>1</v>
      </c>
      <c r="H7" s="2978">
        <v>0.04</v>
      </c>
      <c r="I7" s="2978">
        <v>0.05</v>
      </c>
      <c r="J7" s="176">
        <v>7.0000000000000007E-2</v>
      </c>
      <c r="K7" s="179">
        <f>SUMIF('数据-汇总表'!C$19:C$33,'数据-取费表'!A7,'数据-汇总表'!E$19:E$33)</f>
        <v>8303</v>
      </c>
      <c r="L7" s="2979">
        <v>2500</v>
      </c>
      <c r="M7" s="177">
        <f t="shared" si="0"/>
        <v>2076</v>
      </c>
      <c r="N7" s="2980">
        <v>0</v>
      </c>
      <c r="O7" s="177">
        <f t="shared" ref="O7:O14" si="3">IF($N$5="成新度","——",ROUND(M7*N7,0))</f>
        <v>0</v>
      </c>
      <c r="P7" s="178">
        <f t="shared" ref="P7:P14" si="4">IF($N$5="成新度","——",M7-O7)</f>
        <v>2076</v>
      </c>
      <c r="Q7" s="2981">
        <v>0.1</v>
      </c>
      <c r="R7" s="179">
        <f>SUMIF('数据-汇总表'!C$19:C$33,A7,'数据-汇总表'!R$19:R$33)</f>
        <v>2012.14</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0.85899999999999999</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53161</v>
      </c>
      <c r="L16" s="206">
        <f>ROUND(M16*10000/SUM(K6:K14),0)</f>
        <v>2922</v>
      </c>
      <c r="M16" s="206">
        <f>SUM(M6:M14)</f>
        <v>15533</v>
      </c>
      <c r="N16" s="207">
        <f>ROUND(SUMPRODUCT(M6:M14,N6:N14)/M16,3)</f>
        <v>0</v>
      </c>
      <c r="O16" s="206">
        <f>SUM(O6:O14)</f>
        <v>0</v>
      </c>
      <c r="P16" s="206">
        <f>SUM(P6:P14)</f>
        <v>15533</v>
      </c>
      <c r="Q16" s="208">
        <f>ROUND(SUMPRODUCT(Q6:Q13,K6:K13)/SUMPRODUCT((Q6:Q13&gt;0)*(K6:K13)),2)</f>
        <v>0.18</v>
      </c>
      <c r="R16" s="2296">
        <f>SUM(R6:R13)</f>
        <v>12883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0.85899999999999999</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160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300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300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2892</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2893</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2894</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2895</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2896</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0.01</v>
      </c>
      <c r="C38" s="2329" t="s">
        <v>2896</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2897</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2898</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2899</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2900</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2901</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2902</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3</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1407</v>
      </c>
      <c r="C53" s="3028" t="s">
        <v>2903</v>
      </c>
      <c r="D53" s="3029" t="s">
        <v>2904</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2905</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2906</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2907</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2908</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2909</v>
      </c>
      <c r="B58" s="186">
        <v>3</v>
      </c>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2910</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2911</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2912</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2913</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2914</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5" t="s">
        <v>1663</v>
      </c>
      <c r="B1" s="3296"/>
      <c r="C1" s="3296"/>
      <c r="D1" s="3296"/>
      <c r="E1" s="3296"/>
      <c r="F1" s="3296"/>
      <c r="G1" s="3296"/>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2920</v>
      </c>
      <c r="D3" s="1994"/>
      <c r="E3" s="1225" t="s">
        <v>1666</v>
      </c>
      <c r="F3" s="1226" t="s">
        <v>1654</v>
      </c>
      <c r="G3" s="3036" t="s">
        <v>2919</v>
      </c>
      <c r="H3" s="1993"/>
      <c r="I3" s="1993"/>
      <c r="J3" s="1993"/>
      <c r="K3" s="1993"/>
      <c r="L3" s="1993"/>
      <c r="M3" s="1993"/>
      <c r="N3" s="1993"/>
      <c r="O3" s="1993"/>
      <c r="P3" s="1993"/>
      <c r="Q3" s="1993"/>
      <c r="R3" s="1993"/>
    </row>
    <row r="4" spans="1:18" ht="41.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81">
      <c r="A5" s="1225"/>
      <c r="B5" s="1227" t="s">
        <v>1669</v>
      </c>
      <c r="C5" s="3184" t="s">
        <v>3092</v>
      </c>
      <c r="D5" s="1994"/>
      <c r="E5" s="1228"/>
      <c r="F5" s="1227" t="s">
        <v>2546</v>
      </c>
      <c r="G5" s="3035" t="s">
        <v>2917</v>
      </c>
      <c r="H5" s="1993"/>
      <c r="I5" s="1993"/>
      <c r="J5" s="1993"/>
      <c r="K5" s="1993"/>
      <c r="L5" s="1993"/>
      <c r="M5" s="1993"/>
      <c r="N5" s="1993"/>
      <c r="O5" s="1993"/>
      <c r="P5" s="1993"/>
      <c r="Q5" s="1993"/>
      <c r="R5" s="1993"/>
    </row>
    <row r="6" spans="1:18" ht="94.5">
      <c r="A6" s="1225"/>
      <c r="B6" s="1227" t="s">
        <v>1655</v>
      </c>
      <c r="C6" s="3186" t="s">
        <v>3093</v>
      </c>
      <c r="D6" s="1994"/>
      <c r="E6" s="1228"/>
      <c r="F6" s="1227" t="s">
        <v>2547</v>
      </c>
      <c r="G6" s="3035" t="s">
        <v>2915</v>
      </c>
      <c r="H6" s="1993"/>
      <c r="I6" s="1993"/>
      <c r="J6" s="1993"/>
      <c r="K6" s="1993"/>
      <c r="L6" s="1993"/>
      <c r="M6" s="1993"/>
      <c r="N6" s="1993"/>
      <c r="O6" s="1993"/>
      <c r="P6" s="1993"/>
      <c r="Q6" s="1993"/>
      <c r="R6" s="1993"/>
    </row>
    <row r="7" spans="1:18" ht="41.25" thickBot="1">
      <c r="A7" s="1225"/>
      <c r="B7" s="1227" t="s">
        <v>2546</v>
      </c>
      <c r="C7" s="3186" t="s">
        <v>3003</v>
      </c>
      <c r="D7" s="1995"/>
      <c r="E7" s="1230"/>
      <c r="F7" s="1231" t="s">
        <v>1670</v>
      </c>
      <c r="G7" s="3037" t="s">
        <v>2918</v>
      </c>
      <c r="H7" s="1993"/>
      <c r="I7" s="1993"/>
      <c r="J7" s="1993"/>
      <c r="K7" s="1993"/>
      <c r="L7" s="1993"/>
      <c r="M7" s="1993"/>
      <c r="N7" s="1993"/>
      <c r="O7" s="1993"/>
      <c r="P7" s="1993"/>
      <c r="Q7" s="1993"/>
      <c r="R7" s="1993"/>
    </row>
    <row r="8" spans="1:18">
      <c r="A8" s="1225"/>
      <c r="B8" s="1227" t="s">
        <v>2547</v>
      </c>
      <c r="C8" s="3186" t="s">
        <v>3080</v>
      </c>
      <c r="D8" s="1995"/>
      <c r="E8" s="1995"/>
      <c r="F8" s="1540"/>
      <c r="G8" s="1540"/>
      <c r="H8" s="1993"/>
      <c r="I8" s="1993"/>
      <c r="J8" s="1993"/>
      <c r="K8" s="1993"/>
      <c r="L8" s="1993"/>
      <c r="M8" s="1993"/>
      <c r="N8" s="1993"/>
      <c r="O8" s="1993"/>
      <c r="P8" s="1993"/>
      <c r="Q8" s="1993"/>
      <c r="R8" s="1993"/>
    </row>
    <row r="9" spans="1:18" ht="81">
      <c r="A9" s="1225"/>
      <c r="B9" s="1227" t="s">
        <v>1656</v>
      </c>
      <c r="C9" s="3184" t="s">
        <v>3094</v>
      </c>
      <c r="D9" s="1994"/>
      <c r="E9" s="1995"/>
      <c r="F9" s="1540"/>
      <c r="G9" s="1540"/>
      <c r="H9" s="1993"/>
      <c r="I9" s="1993"/>
      <c r="J9" s="1993"/>
      <c r="K9" s="1993"/>
      <c r="L9" s="1993"/>
      <c r="M9" s="1993"/>
      <c r="N9" s="1993"/>
      <c r="O9" s="1993"/>
      <c r="P9" s="1993"/>
      <c r="Q9" s="1993"/>
      <c r="R9" s="1993"/>
    </row>
    <row r="10" spans="1:18" s="2001" customFormat="1" ht="14.25" thickBot="1">
      <c r="A10" s="1232"/>
      <c r="B10" s="1233" t="s">
        <v>1671</v>
      </c>
      <c r="C10" s="3185" t="s">
        <v>3011</v>
      </c>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81">
      <c r="A17" s="2553"/>
      <c r="B17" s="1241" t="s">
        <v>1669</v>
      </c>
      <c r="C17" s="1242" t="str">
        <f>C5</f>
        <v>估价对象周边有大成时代中心、万达广场写字楼、泰禾长安中心、紫御国际等，办公楼项目较多，入驻率高，办公集聚程度较好</v>
      </c>
      <c r="D17" s="1995"/>
      <c r="E17" s="2550"/>
      <c r="F17" s="1243" t="s">
        <v>1674</v>
      </c>
      <c r="G17" s="2750"/>
    </row>
    <row r="18" spans="1:7" ht="94.5">
      <c r="A18" s="2553"/>
      <c r="B18" s="1243" t="s">
        <v>1655</v>
      </c>
      <c r="C18" s="1005" t="str">
        <f>C6</f>
        <v>估价对象周边有运通113路、运通114路、436路、481路、531路、611路、959路等多条公共交通线路，距地铁1号线（八宝山站）约2公里，综合评价交通便捷度一般</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81">
      <c r="A20" s="2553"/>
      <c r="B20" s="1243" t="s">
        <v>1660</v>
      </c>
      <c r="C20" s="1242" t="str">
        <f>C9</f>
        <v>区域自然环境：火车头广场、北京园博园；人文环境：北京市第一中级人民法院、北京市第四中级人民法院；综合评价环境状况较好</v>
      </c>
      <c r="D20" s="1995"/>
      <c r="E20" s="2550"/>
      <c r="F20" s="1227" t="s">
        <v>2547</v>
      </c>
      <c r="G20" s="1005" t="str">
        <f>G6</f>
        <v>估价对象所在区域基础设施水平</v>
      </c>
    </row>
    <row r="21" spans="1:7" ht="27">
      <c r="A21" s="2553"/>
      <c r="B21" s="1227" t="s">
        <v>2546</v>
      </c>
      <c r="C21" s="1005" t="str">
        <f>C7</f>
        <v>估价对象所在区域公共配套设施齐备情况较齐备</v>
      </c>
      <c r="D21" s="1994"/>
      <c r="E21" s="2550"/>
      <c r="F21" s="1243" t="s">
        <v>1661</v>
      </c>
      <c r="G21" s="3038"/>
    </row>
    <row r="22" spans="1:7" ht="14.25">
      <c r="A22" s="2553"/>
      <c r="B22" s="1227" t="s">
        <v>2547</v>
      </c>
      <c r="C22" s="1005" t="str">
        <f>C8</f>
        <v>七通</v>
      </c>
      <c r="D22" s="1994"/>
      <c r="E22" s="2550"/>
      <c r="F22" s="1243" t="s">
        <v>1671</v>
      </c>
      <c r="G22" s="2750"/>
    </row>
    <row r="23" spans="1:7" ht="15" thickBot="1">
      <c r="A23" s="2553"/>
      <c r="B23" s="1243" t="s">
        <v>1661</v>
      </c>
      <c r="C23" s="3038"/>
      <c r="E23" s="2551"/>
      <c r="F23" s="1244" t="s">
        <v>1675</v>
      </c>
      <c r="G23" s="3039"/>
    </row>
    <row r="24" spans="1:7" ht="27.75" thickBot="1">
      <c r="A24" s="2554"/>
      <c r="B24" s="1244" t="s">
        <v>1662</v>
      </c>
      <c r="C24" s="1245" t="str">
        <f>C10</f>
        <v>城市支路——张仪村东五路</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2843</v>
      </c>
      <c r="B1" s="2997">
        <f>SUM(B14:B23)</f>
        <v>53161</v>
      </c>
      <c r="C1" s="2998"/>
      <c r="D1" s="2998"/>
      <c r="E1" s="2998"/>
      <c r="F1" s="2998"/>
    </row>
    <row r="2" spans="1:9" ht="16.5">
      <c r="A2" s="2997" t="s">
        <v>2844</v>
      </c>
      <c r="B2" s="2997">
        <f>SUM(C14:C23)</f>
        <v>12883</v>
      </c>
      <c r="C2" s="2998"/>
      <c r="D2" s="2998"/>
      <c r="E2" s="2998"/>
      <c r="F2" s="2998"/>
    </row>
    <row r="3" spans="1:9" ht="16.5">
      <c r="A3" s="2997" t="s">
        <v>2845</v>
      </c>
      <c r="B3" s="2999">
        <f>项目基本情况!D3</f>
        <v>43570</v>
      </c>
      <c r="C3" s="2998"/>
      <c r="D3" s="2998"/>
      <c r="E3" s="2998"/>
      <c r="F3" s="2998"/>
    </row>
    <row r="4" spans="1:9" ht="33">
      <c r="A4" s="2997" t="s">
        <v>2846</v>
      </c>
      <c r="B4" s="2997" t="s">
        <v>2847</v>
      </c>
      <c r="C4" s="2997" t="s">
        <v>2848</v>
      </c>
      <c r="D4" s="2997" t="s">
        <v>2849</v>
      </c>
      <c r="E4" s="2998"/>
      <c r="F4" s="2998"/>
    </row>
    <row r="5" spans="1:9" ht="16.5">
      <c r="A5" s="2997" t="s">
        <v>2850</v>
      </c>
      <c r="B5" s="2997">
        <f ca="1">SUM(D14:D23)</f>
        <v>67456</v>
      </c>
      <c r="C5" s="2997">
        <f ca="1">ROUND(B5*10000/$B$1,0)</f>
        <v>12689</v>
      </c>
      <c r="D5" s="2997">
        <f ca="1">ROUND(B5*10000/$B$2,0)</f>
        <v>52360</v>
      </c>
      <c r="E5" s="2998"/>
      <c r="F5" s="2998"/>
    </row>
    <row r="6" spans="1:9" ht="16.5">
      <c r="A6" s="2997" t="s">
        <v>2851</v>
      </c>
      <c r="B6" s="2997">
        <f>SUM(G14:G23)</f>
        <v>0</v>
      </c>
      <c r="C6" s="2997">
        <f t="shared" ref="C6:C8" si="0">ROUND(B6*10000/$B$1,0)</f>
        <v>0</v>
      </c>
      <c r="D6" s="2997">
        <f t="shared" ref="D6:D8" si="1">ROUND(B6*10000/$B$2,0)</f>
        <v>0</v>
      </c>
      <c r="E6" s="2998"/>
      <c r="F6" s="2998"/>
    </row>
    <row r="7" spans="1:9" ht="16.5">
      <c r="A7" s="2997" t="s">
        <v>2852</v>
      </c>
      <c r="B7" s="2997">
        <f>SUM(H14:H23)</f>
        <v>0</v>
      </c>
      <c r="C7" s="2997">
        <f t="shared" si="0"/>
        <v>0</v>
      </c>
      <c r="D7" s="2997">
        <f t="shared" si="1"/>
        <v>0</v>
      </c>
      <c r="E7" s="2998"/>
      <c r="F7" s="2998"/>
    </row>
    <row r="8" spans="1:9" ht="16.5">
      <c r="A8" s="2997" t="s">
        <v>2853</v>
      </c>
      <c r="B8" s="2997">
        <f>SUM(I14:I23)</f>
        <v>0</v>
      </c>
      <c r="C8" s="2997">
        <f t="shared" si="0"/>
        <v>0</v>
      </c>
      <c r="D8" s="2997">
        <f t="shared" si="1"/>
        <v>0</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53161</v>
      </c>
      <c r="C14" s="3001">
        <f>结果表!K38</f>
        <v>12883</v>
      </c>
      <c r="D14" s="3001">
        <f ca="1">结果表!C42</f>
        <v>67456</v>
      </c>
      <c r="E14" s="3001">
        <f ca="1">ROUND(D14*10000/B14,0)</f>
        <v>12689</v>
      </c>
      <c r="F14" s="3001">
        <f ca="1">ROUND(D14*10000/C14,0)</f>
        <v>52360</v>
      </c>
      <c r="G14" s="3001" t="str">
        <f>结果表!C44</f>
        <v>——</v>
      </c>
      <c r="H14" s="3001" t="str">
        <f>结果表!C45</f>
        <v>——</v>
      </c>
      <c r="I14" s="3001" t="str">
        <f>结果表!C46</f>
        <v>——</v>
      </c>
    </row>
    <row r="15" spans="1:9" ht="16.5">
      <c r="A15" s="3004" t="s">
        <v>2860</v>
      </c>
      <c r="B15" s="3005"/>
      <c r="C15" s="3005"/>
      <c r="D15" s="3005"/>
      <c r="E15" s="3001" t="e">
        <f t="shared" ref="E15:E23" si="2">ROUND(D15*10000/B15,0)</f>
        <v>#DIV/0!</v>
      </c>
      <c r="F15" s="3001" t="e">
        <f t="shared" ref="F15:F23" si="3">ROUND(D15*10000/C15,0)</f>
        <v>#DIV/0!</v>
      </c>
      <c r="G15" s="3002"/>
      <c r="H15" s="3002"/>
      <c r="I15" s="3005"/>
    </row>
    <row r="16" spans="1:9" ht="16.5">
      <c r="A16" s="3004" t="s">
        <v>2861</v>
      </c>
      <c r="B16" s="3005"/>
      <c r="C16" s="3005"/>
      <c r="D16" s="3005"/>
      <c r="E16" s="3001" t="e">
        <f t="shared" si="2"/>
        <v>#DIV/0!</v>
      </c>
      <c r="F16" s="3001" t="e">
        <f t="shared" si="3"/>
        <v>#DIV/0!</v>
      </c>
      <c r="G16" s="3002"/>
      <c r="H16" s="3002"/>
      <c r="I16" s="3005"/>
    </row>
    <row r="17" spans="1:9" ht="16.5">
      <c r="A17" s="3004" t="s">
        <v>2862</v>
      </c>
      <c r="B17" s="3005"/>
      <c r="C17" s="3005"/>
      <c r="D17" s="3005"/>
      <c r="E17" s="3001" t="e">
        <f t="shared" si="2"/>
        <v>#DIV/0!</v>
      </c>
      <c r="F17" s="3001" t="e">
        <f t="shared" si="3"/>
        <v>#DIV/0!</v>
      </c>
      <c r="G17" s="3002"/>
      <c r="H17" s="3002"/>
      <c r="I17" s="3005"/>
    </row>
    <row r="18" spans="1:9" ht="16.5">
      <c r="A18" s="3004" t="s">
        <v>2863</v>
      </c>
      <c r="B18" s="3005"/>
      <c r="C18" s="3005"/>
      <c r="D18" s="3005"/>
      <c r="E18" s="3001" t="e">
        <f t="shared" si="2"/>
        <v>#DIV/0!</v>
      </c>
      <c r="F18" s="3001" t="e">
        <f t="shared" si="3"/>
        <v>#DIV/0!</v>
      </c>
      <c r="G18" s="3005"/>
      <c r="H18" s="3005"/>
      <c r="I18" s="3005"/>
    </row>
    <row r="19" spans="1:9" ht="16.5">
      <c r="A19" s="3004" t="s">
        <v>2864</v>
      </c>
      <c r="B19" s="3005"/>
      <c r="C19" s="3005"/>
      <c r="D19" s="3005"/>
      <c r="E19" s="3001" t="e">
        <f t="shared" si="2"/>
        <v>#DIV/0!</v>
      </c>
      <c r="F19" s="3001" t="e">
        <f t="shared" si="3"/>
        <v>#DIV/0!</v>
      </c>
      <c r="G19" s="3005"/>
      <c r="H19" s="3005"/>
      <c r="I19" s="3005"/>
    </row>
    <row r="20" spans="1:9" ht="16.5">
      <c r="A20" s="3004" t="s">
        <v>2865</v>
      </c>
      <c r="B20" s="3005"/>
      <c r="C20" s="3005"/>
      <c r="D20" s="3005"/>
      <c r="E20" s="3001" t="e">
        <f t="shared" si="2"/>
        <v>#DIV/0!</v>
      </c>
      <c r="F20" s="3001" t="e">
        <f t="shared" si="3"/>
        <v>#DIV/0!</v>
      </c>
      <c r="G20" s="3005"/>
      <c r="H20" s="3005"/>
      <c r="I20" s="3005"/>
    </row>
    <row r="21" spans="1:9" ht="16.5">
      <c r="A21" s="3004" t="s">
        <v>2866</v>
      </c>
      <c r="B21" s="3005"/>
      <c r="C21" s="3005"/>
      <c r="D21" s="3005"/>
      <c r="E21" s="3001" t="e">
        <f t="shared" si="2"/>
        <v>#DIV/0!</v>
      </c>
      <c r="F21" s="3001" t="e">
        <f t="shared" si="3"/>
        <v>#DIV/0!</v>
      </c>
      <c r="G21" s="3005"/>
      <c r="H21" s="3005"/>
      <c r="I21" s="3005"/>
    </row>
    <row r="22" spans="1:9" ht="16.5">
      <c r="A22" s="3004" t="s">
        <v>2867</v>
      </c>
      <c r="B22" s="3005"/>
      <c r="C22" s="3005"/>
      <c r="D22" s="3005"/>
      <c r="E22" s="3001" t="e">
        <f t="shared" si="2"/>
        <v>#DIV/0!</v>
      </c>
      <c r="F22" s="3001" t="e">
        <f t="shared" si="3"/>
        <v>#DIV/0!</v>
      </c>
      <c r="G22" s="3005"/>
      <c r="H22" s="3005"/>
      <c r="I22" s="3005"/>
    </row>
    <row r="23" spans="1:9" ht="16.5">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Normal="100" zoomScaleSheetLayoutView="100" zoomScalePageLayoutView="80" workbookViewId="0">
      <selection activeCell="K29" sqref="K2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42" t="str">
        <f>项目基本情况!K2</f>
        <v>北京市丰台区吴家村首钢二通产业园区1615-615地块文化创意产业大厦项目出让国有建设用地使用权</v>
      </c>
      <c r="B2" s="3343"/>
      <c r="C2" s="3344"/>
      <c r="D2" s="3344"/>
      <c r="E2" s="3344"/>
      <c r="F2" s="3344"/>
      <c r="G2" s="3343"/>
      <c r="H2" s="3343"/>
      <c r="I2" s="3345"/>
      <c r="J2" s="2015"/>
      <c r="K2" s="2014"/>
      <c r="L2" s="2014"/>
      <c r="M2" s="2014"/>
      <c r="N2" s="2014"/>
      <c r="O2" s="2014"/>
      <c r="P2" s="2014"/>
      <c r="Q2" s="2014"/>
      <c r="R2" s="2014"/>
      <c r="S2" s="2014"/>
      <c r="T2" s="2014"/>
      <c r="U2" s="2014"/>
      <c r="V2" s="2014"/>
    </row>
    <row r="3" spans="1:22" ht="14.25">
      <c r="A3" s="3353" t="s">
        <v>298</v>
      </c>
      <c r="B3" s="3354"/>
      <c r="C3" s="3354"/>
      <c r="D3" s="3354"/>
      <c r="E3" s="3354"/>
      <c r="F3" s="3354"/>
      <c r="G3" s="3354"/>
      <c r="H3" s="3354"/>
      <c r="I3" s="3354"/>
      <c r="J3" s="2015"/>
      <c r="K3" s="2014"/>
      <c r="L3" s="2014"/>
      <c r="M3" s="2014"/>
      <c r="N3" s="2014"/>
      <c r="O3" s="2014"/>
      <c r="P3" s="2014"/>
      <c r="Q3" s="2014"/>
      <c r="R3" s="2014"/>
      <c r="S3" s="2014"/>
      <c r="T3" s="2014"/>
      <c r="U3" s="2014"/>
      <c r="V3" s="2014"/>
    </row>
    <row r="4" spans="1:22" ht="14.25">
      <c r="A4" s="258" t="s">
        <v>299</v>
      </c>
      <c r="B4" s="259" t="s">
        <v>300</v>
      </c>
      <c r="C4" s="260" t="s">
        <v>2949</v>
      </c>
      <c r="D4" s="260" t="s">
        <v>3013</v>
      </c>
      <c r="E4" s="3317" t="s">
        <v>301</v>
      </c>
      <c r="F4" s="3359"/>
      <c r="G4" s="3359"/>
      <c r="H4" s="3359"/>
      <c r="I4" s="3318"/>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46" t="s">
        <v>302</v>
      </c>
      <c r="B5" s="3347">
        <v>25</v>
      </c>
      <c r="C5" s="3355">
        <v>3</v>
      </c>
      <c r="D5" s="3358">
        <f>10-C5</f>
        <v>7</v>
      </c>
      <c r="E5" s="261" t="s">
        <v>303</v>
      </c>
      <c r="F5" s="262"/>
      <c r="G5" s="262"/>
      <c r="H5" s="262"/>
      <c r="I5" s="263"/>
      <c r="J5" s="2015"/>
      <c r="K5" s="2014"/>
      <c r="L5" s="2014"/>
      <c r="M5" s="2014"/>
      <c r="N5" s="2014"/>
      <c r="O5" s="2014"/>
      <c r="P5" s="2014"/>
      <c r="Q5" s="2014"/>
      <c r="R5" s="2014"/>
      <c r="S5" s="2014"/>
      <c r="T5" s="2014"/>
      <c r="U5" s="2014"/>
      <c r="V5" s="2014"/>
    </row>
    <row r="6" spans="1:22" ht="14.25">
      <c r="A6" s="3346"/>
      <c r="B6" s="3347"/>
      <c r="C6" s="3356"/>
      <c r="D6" s="3358"/>
      <c r="E6" s="261" t="s">
        <v>304</v>
      </c>
      <c r="F6" s="262"/>
      <c r="G6" s="262"/>
      <c r="H6" s="262"/>
      <c r="I6" s="263"/>
      <c r="J6" s="2015"/>
      <c r="K6" s="2014"/>
      <c r="L6" s="2014"/>
      <c r="M6" s="2014"/>
      <c r="N6" s="2014"/>
      <c r="O6" s="2014"/>
      <c r="P6" s="2014"/>
      <c r="Q6" s="2014"/>
      <c r="R6" s="2014"/>
      <c r="S6" s="2014"/>
      <c r="T6" s="2014"/>
      <c r="U6" s="2014"/>
      <c r="V6" s="2014"/>
    </row>
    <row r="7" spans="1:22" ht="14.25">
      <c r="A7" s="3346"/>
      <c r="B7" s="3347"/>
      <c r="C7" s="3357"/>
      <c r="D7" s="3358"/>
      <c r="E7" s="261" t="s">
        <v>305</v>
      </c>
      <c r="F7" s="262"/>
      <c r="G7" s="262"/>
      <c r="H7" s="262"/>
      <c r="I7" s="263"/>
      <c r="J7" s="2015"/>
      <c r="K7" s="2014"/>
      <c r="L7" s="2014"/>
      <c r="M7" s="2014"/>
      <c r="N7" s="2014"/>
      <c r="O7" s="2014"/>
      <c r="P7" s="2014"/>
      <c r="Q7" s="2014"/>
      <c r="R7" s="2014"/>
      <c r="S7" s="2014"/>
      <c r="T7" s="2014"/>
      <c r="U7" s="2014"/>
      <c r="V7" s="2014"/>
    </row>
    <row r="8" spans="1:22" ht="14.25">
      <c r="A8" s="3346" t="s">
        <v>306</v>
      </c>
      <c r="B8" s="3347">
        <v>15</v>
      </c>
      <c r="C8" s="3355"/>
      <c r="D8" s="3358"/>
      <c r="E8" s="261" t="s">
        <v>307</v>
      </c>
      <c r="F8" s="262"/>
      <c r="G8" s="262"/>
      <c r="H8" s="262"/>
      <c r="I8" s="263"/>
      <c r="J8" s="2015"/>
      <c r="K8" s="2014"/>
      <c r="L8" s="2014"/>
      <c r="M8" s="2014"/>
      <c r="N8" s="2014"/>
      <c r="O8" s="2014"/>
      <c r="P8" s="2014"/>
      <c r="Q8" s="2014"/>
      <c r="R8" s="2014"/>
      <c r="S8" s="2014"/>
      <c r="T8" s="2014"/>
      <c r="U8" s="2014"/>
      <c r="V8" s="2014"/>
    </row>
    <row r="9" spans="1:22" ht="14.25">
      <c r="A9" s="3346"/>
      <c r="B9" s="3347"/>
      <c r="C9" s="3357"/>
      <c r="D9" s="3358"/>
      <c r="E9" s="261" t="s">
        <v>308</v>
      </c>
      <c r="F9" s="262"/>
      <c r="G9" s="262"/>
      <c r="H9" s="262"/>
      <c r="I9" s="263"/>
      <c r="J9" s="2015"/>
      <c r="K9" s="2014"/>
      <c r="L9" s="2014"/>
      <c r="M9" s="2014"/>
      <c r="N9" s="2014"/>
      <c r="O9" s="2014"/>
      <c r="P9" s="2014"/>
      <c r="Q9" s="2014"/>
      <c r="R9" s="2014"/>
      <c r="S9" s="2014"/>
      <c r="T9" s="2014"/>
      <c r="U9" s="2014"/>
      <c r="V9" s="2014"/>
    </row>
    <row r="10" spans="1:22" ht="14.25">
      <c r="A10" s="3346" t="s">
        <v>309</v>
      </c>
      <c r="B10" s="3347">
        <v>15</v>
      </c>
      <c r="C10" s="3355"/>
      <c r="D10" s="3358"/>
      <c r="E10" s="261" t="s">
        <v>310</v>
      </c>
      <c r="F10" s="262"/>
      <c r="G10" s="262"/>
      <c r="H10" s="262"/>
      <c r="I10" s="263"/>
      <c r="J10" s="2015"/>
      <c r="K10" s="2014"/>
      <c r="L10" s="2014"/>
      <c r="M10" s="2014"/>
      <c r="N10" s="2014"/>
      <c r="O10" s="2014"/>
      <c r="P10" s="2014"/>
      <c r="Q10" s="2014"/>
      <c r="R10" s="2014"/>
      <c r="S10" s="2014"/>
      <c r="T10" s="2014"/>
      <c r="U10" s="2014"/>
      <c r="V10" s="2014"/>
    </row>
    <row r="11" spans="1:22" ht="14.25">
      <c r="A11" s="3346"/>
      <c r="B11" s="3347"/>
      <c r="C11" s="3357"/>
      <c r="D11" s="3358"/>
      <c r="E11" s="261" t="s">
        <v>311</v>
      </c>
      <c r="F11" s="262"/>
      <c r="G11" s="262"/>
      <c r="H11" s="262"/>
      <c r="I11" s="263"/>
      <c r="J11" s="2015"/>
      <c r="K11" s="2014"/>
      <c r="L11" s="2014"/>
      <c r="M11" s="2014"/>
      <c r="N11" s="2014"/>
      <c r="O11" s="2014"/>
      <c r="P11" s="2014"/>
      <c r="Q11" s="2014"/>
      <c r="R11" s="2014"/>
      <c r="S11" s="2014"/>
      <c r="T11" s="2014"/>
      <c r="U11" s="2014"/>
      <c r="V11" s="2014"/>
    </row>
    <row r="12" spans="1:22" ht="14.25">
      <c r="A12" s="3346" t="s">
        <v>312</v>
      </c>
      <c r="B12" s="3347">
        <v>15</v>
      </c>
      <c r="C12" s="3355"/>
      <c r="D12" s="3358"/>
      <c r="E12" s="261" t="s">
        <v>313</v>
      </c>
      <c r="F12" s="262"/>
      <c r="G12" s="262"/>
      <c r="H12" s="262"/>
      <c r="I12" s="263"/>
      <c r="J12" s="2015"/>
      <c r="K12" s="2014"/>
      <c r="L12" s="2014"/>
      <c r="M12" s="2014"/>
      <c r="N12" s="2014"/>
      <c r="O12" s="2014"/>
      <c r="P12" s="2014"/>
      <c r="Q12" s="2014"/>
      <c r="R12" s="2014"/>
      <c r="S12" s="2014"/>
      <c r="T12" s="2014"/>
      <c r="U12" s="2014"/>
      <c r="V12" s="2014"/>
    </row>
    <row r="13" spans="1:22" ht="14.25">
      <c r="A13" s="3346"/>
      <c r="B13" s="3347"/>
      <c r="C13" s="3357"/>
      <c r="D13" s="3358"/>
      <c r="E13" s="261" t="s">
        <v>314</v>
      </c>
      <c r="F13" s="262"/>
      <c r="G13" s="262"/>
      <c r="H13" s="262"/>
      <c r="I13" s="263"/>
      <c r="J13" s="2015"/>
      <c r="K13" s="2014"/>
      <c r="L13" s="2014"/>
      <c r="M13" s="2014"/>
      <c r="N13" s="2014"/>
      <c r="O13" s="2014"/>
      <c r="P13" s="2014"/>
      <c r="Q13" s="2014"/>
      <c r="R13" s="2014"/>
      <c r="S13" s="2014"/>
      <c r="T13" s="2014"/>
      <c r="U13" s="2014"/>
      <c r="V13" s="2014"/>
    </row>
    <row r="14" spans="1:22" ht="14.25">
      <c r="A14" s="3346" t="s">
        <v>315</v>
      </c>
      <c r="B14" s="3347">
        <v>30</v>
      </c>
      <c r="C14" s="3355"/>
      <c r="D14" s="3358"/>
      <c r="E14" s="261" t="s">
        <v>316</v>
      </c>
      <c r="F14" s="262"/>
      <c r="G14" s="262"/>
      <c r="H14" s="262"/>
      <c r="I14" s="263"/>
      <c r="J14" s="2015"/>
      <c r="K14" s="2014"/>
      <c r="L14" s="2014"/>
      <c r="M14" s="2014"/>
      <c r="N14" s="2014"/>
      <c r="O14" s="2014"/>
      <c r="P14" s="2014"/>
      <c r="Q14" s="2014"/>
      <c r="R14" s="2014"/>
      <c r="S14" s="2014"/>
      <c r="T14" s="2014"/>
      <c r="U14" s="2014"/>
      <c r="V14" s="2014"/>
    </row>
    <row r="15" spans="1:22" ht="14.25">
      <c r="A15" s="3346"/>
      <c r="B15" s="3347"/>
      <c r="C15" s="3356"/>
      <c r="D15" s="3358"/>
      <c r="E15" s="261" t="s">
        <v>317</v>
      </c>
      <c r="F15" s="262"/>
      <c r="G15" s="262"/>
      <c r="H15" s="262"/>
      <c r="I15" s="263"/>
      <c r="J15" s="2015"/>
      <c r="K15" s="2014"/>
      <c r="L15" s="2014"/>
      <c r="M15" s="2014"/>
      <c r="N15" s="2014"/>
      <c r="O15" s="2014"/>
      <c r="P15" s="2014"/>
      <c r="Q15" s="2014"/>
      <c r="R15" s="2014"/>
      <c r="S15" s="2014"/>
      <c r="T15" s="2014"/>
      <c r="U15" s="2014"/>
      <c r="V15" s="2014"/>
    </row>
    <row r="16" spans="1:22" ht="14.25">
      <c r="A16" s="3346"/>
      <c r="B16" s="3347"/>
      <c r="C16" s="3357"/>
      <c r="D16" s="3358"/>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3</v>
      </c>
      <c r="D17" s="265">
        <f>SUM(D5:D16)</f>
        <v>7</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0.3</v>
      </c>
      <c r="D18" s="267">
        <f>1-C18</f>
        <v>0.7</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58154</v>
      </c>
      <c r="D19" s="271">
        <f ca="1">SUMIF(INDIRECT("'"&amp;D4&amp;"'"&amp;"!A:A"),结果表!B19,INDIRECT("'"&amp;D4&amp;"'"&amp;"!B:B"))</f>
        <v>71443</v>
      </c>
      <c r="E19" s="268" t="s">
        <v>323</v>
      </c>
      <c r="F19" s="269" t="s">
        <v>322</v>
      </c>
      <c r="G19" s="272">
        <f ca="1">ROUND(C19*$C$18+D19*$D$18,0)</f>
        <v>67456</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12964</v>
      </c>
      <c r="D20" s="277">
        <f ca="1">SUMIF(INDIRECT("'"&amp;D4&amp;"'"&amp;"!A:A"),结果表!B20,INDIRECT("'"&amp;D4&amp;"'"&amp;"!B:B"))</f>
        <v>15926</v>
      </c>
      <c r="E20" s="274"/>
      <c r="F20" s="275" t="s">
        <v>325</v>
      </c>
      <c r="G20" s="278">
        <f ca="1">ROUND(C20*$C$18+D20*$D$18,0)</f>
        <v>15037</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45140</v>
      </c>
      <c r="D21" s="151">
        <f ca="1">SUMIF(INDIRECT("'"&amp;D4&amp;"'"&amp;"!A:A"),结果表!B21,INDIRECT("'"&amp;D4&amp;"'"&amp;"!B:B"))</f>
        <v>65720</v>
      </c>
      <c r="E21" s="274"/>
      <c r="F21" s="280" t="s">
        <v>327</v>
      </c>
      <c r="G21" s="282">
        <f ca="1">ROUND(C21*$C$18+D21*$D$18,0)</f>
        <v>59546</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0.22851394573030226</v>
      </c>
      <c r="E22" s="284"/>
      <c r="F22" s="285"/>
      <c r="G22" s="286">
        <f ca="1">ROUND(G19/('数据-汇总表'!D3/666.67),0)</f>
        <v>3491</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19"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61"/>
      <c r="B25" s="1317" t="s">
        <v>331</v>
      </c>
      <c r="C25" s="290">
        <f>IF(B30=0,0,C30)</f>
        <v>0</v>
      </c>
      <c r="D25" s="291"/>
      <c r="E25" s="311"/>
      <c r="F25" s="311"/>
      <c r="G25" s="311"/>
      <c r="H25" s="311"/>
      <c r="I25" s="311"/>
      <c r="J25" s="2014"/>
      <c r="K25" s="1251" t="str">
        <f ca="1">项目基本情况!B16&amp;"国有建设用地使用权价格："&amp;O38&amp;"万元"</f>
        <v>出让国有建设用地使用权价格：67456万元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大写金额：人民币陆亿柒仟肆佰伍拾陆万元整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单位面积地价：52360元/平方米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楼面地价：12689元/平方米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1" t="s">
        <v>336</v>
      </c>
      <c r="B30" s="309"/>
      <c r="C30" s="309"/>
      <c r="D30" s="310"/>
      <c r="E30" s="3082" t="s">
        <v>2966</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67456</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12689</v>
      </c>
      <c r="D33" s="1382" t="s">
        <v>1691</v>
      </c>
      <c r="E33" s="3319"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52360</v>
      </c>
      <c r="D34" s="1384" t="s">
        <v>1691</v>
      </c>
      <c r="E34" s="3320"/>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3491</v>
      </c>
      <c r="D35" s="1387" t="s">
        <v>1693</v>
      </c>
      <c r="E35" s="3321"/>
      <c r="F35" s="301" t="s">
        <v>342</v>
      </c>
      <c r="G35" s="982"/>
      <c r="H35" s="981" t="s">
        <v>343</v>
      </c>
      <c r="I35" s="311"/>
      <c r="J35" s="2014"/>
      <c r="K35" s="3325" t="s">
        <v>350</v>
      </c>
      <c r="L35" s="3325" t="s">
        <v>351</v>
      </c>
      <c r="M35" s="1260" t="s">
        <v>352</v>
      </c>
      <c r="N35" s="3325" t="s">
        <v>353</v>
      </c>
      <c r="O35" s="3325" t="s">
        <v>354</v>
      </c>
      <c r="P35" s="2014"/>
      <c r="V35" s="2014"/>
    </row>
    <row r="36" spans="1:26" ht="16.5" customHeight="1">
      <c r="A36" s="303" t="s">
        <v>344</v>
      </c>
      <c r="B36" s="304" t="s">
        <v>333</v>
      </c>
      <c r="C36" s="305" t="s">
        <v>345</v>
      </c>
      <c r="D36" s="305" t="s">
        <v>346</v>
      </c>
      <c r="E36" s="306" t="s">
        <v>347</v>
      </c>
      <c r="F36" s="311"/>
      <c r="G36" s="311"/>
      <c r="H36" s="311"/>
      <c r="I36" s="311"/>
      <c r="J36" s="2016"/>
      <c r="K36" s="3326"/>
      <c r="L36" s="3326"/>
      <c r="M36" s="1262" t="s">
        <v>355</v>
      </c>
      <c r="N36" s="3326"/>
      <c r="O36" s="3326"/>
      <c r="P36" s="2014"/>
      <c r="V36" s="2014"/>
    </row>
    <row r="37" spans="1:26" ht="16.5" customHeight="1" thickBot="1">
      <c r="A37" s="1256" t="s">
        <v>348</v>
      </c>
      <c r="B37" s="307"/>
      <c r="C37" s="294"/>
      <c r="D37" s="294"/>
      <c r="E37" s="295"/>
      <c r="F37" s="311"/>
      <c r="G37" s="311"/>
      <c r="H37" s="311"/>
      <c r="I37" s="311"/>
      <c r="J37" s="2016"/>
      <c r="K37" s="3327"/>
      <c r="L37" s="3327"/>
      <c r="M37" s="1263"/>
      <c r="N37" s="3327"/>
      <c r="O37" s="3327"/>
      <c r="P37" s="2014"/>
      <c r="V37" s="2014"/>
    </row>
    <row r="38" spans="1:26" ht="16.5" customHeight="1" thickBot="1">
      <c r="A38" s="1256" t="s">
        <v>349</v>
      </c>
      <c r="B38" s="307"/>
      <c r="C38" s="294"/>
      <c r="D38" s="294"/>
      <c r="E38" s="295"/>
      <c r="F38" s="311"/>
      <c r="G38" s="311"/>
      <c r="H38" s="311"/>
      <c r="I38" s="311"/>
      <c r="J38" s="2016"/>
      <c r="K38" s="1264">
        <f>'数据-汇总表'!D3</f>
        <v>12883</v>
      </c>
      <c r="L38" s="1265">
        <f>'数据-汇总表'!E3</f>
        <v>53161</v>
      </c>
      <c r="M38" s="1265">
        <f ca="1">C34</f>
        <v>52360</v>
      </c>
      <c r="N38" s="1265">
        <f ca="1">C33</f>
        <v>12689</v>
      </c>
      <c r="O38" s="1266">
        <f ca="1">C32</f>
        <v>67456</v>
      </c>
      <c r="P38" s="2014"/>
      <c r="V38" s="2014"/>
    </row>
    <row r="39" spans="1:26" ht="16.5" customHeight="1" thickBot="1">
      <c r="A39" s="1261"/>
      <c r="B39" s="308"/>
      <c r="C39" s="309"/>
      <c r="D39" s="309"/>
      <c r="E39" s="310"/>
      <c r="F39" s="311"/>
      <c r="G39" s="311"/>
      <c r="H39" s="311"/>
      <c r="I39" s="311"/>
      <c r="J39" s="2016"/>
      <c r="K39" s="3302" t="str">
        <f>MID(A44,3,LEN(A44)-2)</f>
        <v/>
      </c>
      <c r="L39" s="3303"/>
      <c r="M39" s="3303"/>
      <c r="N39" s="3304"/>
      <c r="O39" s="1389" t="str">
        <f>C44</f>
        <v>——</v>
      </c>
      <c r="P39" s="2014"/>
      <c r="V39" s="2014"/>
    </row>
    <row r="40" spans="1:26" ht="19.5" thickBot="1">
      <c r="A40" s="104" t="s">
        <v>873</v>
      </c>
      <c r="B40" s="311"/>
      <c r="C40" s="311"/>
      <c r="D40" s="311"/>
      <c r="E40" s="311"/>
      <c r="F40" s="311"/>
      <c r="G40" s="311"/>
      <c r="H40" s="311"/>
      <c r="I40" s="311"/>
      <c r="J40" s="2016"/>
      <c r="K40" s="3302" t="str">
        <f t="shared" ref="K40:K41" si="0">MID(A45,3,LEN(A45)-2)</f>
        <v/>
      </c>
      <c r="L40" s="3303"/>
      <c r="M40" s="3303"/>
      <c r="N40" s="3304"/>
      <c r="O40" s="1389" t="str">
        <f>C45</f>
        <v>——</v>
      </c>
      <c r="P40" s="2014"/>
      <c r="V40" s="2014"/>
    </row>
    <row r="41" spans="1:26" ht="16.5" thickBot="1">
      <c r="A41" s="312" t="s">
        <v>356</v>
      </c>
      <c r="B41" s="313"/>
      <c r="C41" s="314" t="s">
        <v>357</v>
      </c>
      <c r="D41" s="315" t="s">
        <v>358</v>
      </c>
      <c r="E41" s="315" t="s">
        <v>359</v>
      </c>
      <c r="F41" s="316" t="s">
        <v>360</v>
      </c>
      <c r="G41" s="311"/>
      <c r="H41" s="311"/>
      <c r="I41" s="311"/>
      <c r="J41" s="2016"/>
      <c r="K41" s="3302" t="str">
        <f t="shared" si="0"/>
        <v/>
      </c>
      <c r="L41" s="3303"/>
      <c r="M41" s="3303"/>
      <c r="N41" s="3304"/>
      <c r="O41" s="1389" t="str">
        <f>C46</f>
        <v>——</v>
      </c>
      <c r="P41" s="2014"/>
      <c r="V41" s="2014"/>
    </row>
    <row r="42" spans="1:26" ht="29.25">
      <c r="A42" s="3362" t="s">
        <v>2067</v>
      </c>
      <c r="B42" s="3363"/>
      <c r="C42" s="264">
        <f ca="1">C32</f>
        <v>67456</v>
      </c>
      <c r="D42" s="317">
        <f ca="1">C33</f>
        <v>12689</v>
      </c>
      <c r="E42" s="317">
        <f ca="1">C34</f>
        <v>52360</v>
      </c>
      <c r="F42" s="318">
        <f ca="1">C35</f>
        <v>3491</v>
      </c>
      <c r="G42" s="311"/>
      <c r="H42" s="311"/>
      <c r="I42" s="319"/>
      <c r="J42" s="2016"/>
      <c r="K42" s="1267" t="s">
        <v>361</v>
      </c>
      <c r="L42" s="2033" t="s">
        <v>362</v>
      </c>
      <c r="M42" s="1268" t="s">
        <v>363</v>
      </c>
      <c r="N42" s="2034" t="s">
        <v>364</v>
      </c>
      <c r="O42" s="2035" t="s">
        <v>365</v>
      </c>
      <c r="P42" s="2014"/>
      <c r="V42" s="2014"/>
    </row>
    <row r="43" spans="1:26" ht="18">
      <c r="A43" s="3372" t="s">
        <v>2730</v>
      </c>
      <c r="B43" s="3373"/>
      <c r="C43" s="264">
        <f>IF(H33="正常操作",G33+G34+G35,G34+G35)</f>
        <v>0</v>
      </c>
      <c r="D43" s="317" t="s">
        <v>43</v>
      </c>
      <c r="E43" s="317" t="s">
        <v>44</v>
      </c>
      <c r="F43" s="318" t="s">
        <v>44</v>
      </c>
      <c r="G43" s="2822" t="s">
        <v>952</v>
      </c>
      <c r="H43" s="311"/>
      <c r="I43" s="319"/>
      <c r="J43" s="2016"/>
      <c r="K43" s="1269" t="str">
        <f>C4</f>
        <v>基准地价</v>
      </c>
      <c r="L43" s="1270">
        <f ca="1">IF(L42="估价结果/万元",C19,C20)</f>
        <v>58154</v>
      </c>
      <c r="M43" s="1271">
        <f>C18</f>
        <v>0.3</v>
      </c>
      <c r="N43" s="1272">
        <f ca="1">IF(N42="测算结果/万元",G19,G20)</f>
        <v>67456</v>
      </c>
      <c r="O43" s="1273">
        <f ca="1">IF(O42="最终结果/万元",C32,C33)</f>
        <v>67456</v>
      </c>
      <c r="P43" s="2014"/>
      <c r="V43" s="2014"/>
    </row>
    <row r="44" spans="1:26" ht="30.75" thickBot="1">
      <c r="A44" s="3362" t="str">
        <f>IF(OR(项目基本情况!E8="抵押价格",项目基本情况!E8="已注销及未注销"),"3.抵押价格","——")</f>
        <v>——</v>
      </c>
      <c r="B44" s="3363"/>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剩余法-待开发</v>
      </c>
      <c r="L44" s="1275">
        <f ca="1">IF(L42="估价结果/万元",D19,D20)</f>
        <v>71443</v>
      </c>
      <c r="M44" s="1276">
        <f>D18</f>
        <v>0.7</v>
      </c>
      <c r="N44" s="1277"/>
      <c r="O44" s="1278"/>
      <c r="P44" s="2014"/>
      <c r="V44" s="2014"/>
    </row>
    <row r="45" spans="1:26" ht="15">
      <c r="A45" s="3367" t="str">
        <f>IF(项目基本情况!E8="已注销及未注销","4.抵押担保权已注销时的抵押价格",IF(项目基本情况!E8="已注销","3.抵押担保权已注销时的抵押价格","——"))</f>
        <v>——</v>
      </c>
      <c r="B45" s="3368"/>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64" t="str">
        <f>IF(项目基本情况!E9="抵押净值",IF(A45="——","4.抵押净值","5.抵押净值"),"——")</f>
        <v>——</v>
      </c>
      <c r="B46" s="3365"/>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0" t="s">
        <v>374</v>
      </c>
      <c r="B63" s="3331"/>
      <c r="C63" s="3332"/>
      <c r="D63" s="341">
        <f ca="1">ROUND(C42*F63,0)</f>
        <v>40474</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69" t="s">
        <v>378</v>
      </c>
      <c r="B64" s="3370"/>
      <c r="C64" s="3370"/>
      <c r="D64" s="3370"/>
      <c r="E64" s="3370"/>
      <c r="F64" s="3370"/>
      <c r="G64" s="3371"/>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66" t="s">
        <v>386</v>
      </c>
      <c r="B66" s="3337"/>
      <c r="C66" s="3337"/>
      <c r="D66" s="261">
        <f ca="1">IF(H66="情况1",0,IF(H66="情况2",D70,IF(H66="情况3",D71,IF(H66="情况4",D72))))</f>
        <v>2159</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06" t="s">
        <v>385</v>
      </c>
      <c r="M66" s="3307"/>
      <c r="N66" s="2423"/>
      <c r="O66" s="2424"/>
      <c r="P66" s="2425"/>
      <c r="Q66" s="2014"/>
      <c r="R66" s="2014"/>
      <c r="S66" s="2014"/>
      <c r="T66" s="2014"/>
      <c r="U66" s="2014"/>
      <c r="V66" s="2014"/>
    </row>
    <row r="67" spans="1:22" ht="25.5" customHeight="1">
      <c r="A67" s="352" t="s">
        <v>390</v>
      </c>
      <c r="B67" s="3349" t="s">
        <v>391</v>
      </c>
      <c r="C67" s="3349"/>
      <c r="D67" s="353">
        <v>0</v>
      </c>
      <c r="E67" s="41" t="s">
        <v>392</v>
      </c>
      <c r="F67" s="62" t="s">
        <v>21</v>
      </c>
      <c r="G67" s="3333"/>
      <c r="H67" s="311"/>
      <c r="I67" s="1288"/>
      <c r="J67" s="2021"/>
      <c r="K67" s="1962">
        <v>2</v>
      </c>
      <c r="L67" s="3305" t="s">
        <v>389</v>
      </c>
      <c r="M67" s="3305"/>
      <c r="N67" s="1321">
        <f>'数据-取费表'!B2</f>
        <v>43570</v>
      </c>
      <c r="O67" s="1321"/>
      <c r="P67" s="1321"/>
      <c r="Q67" s="2014"/>
      <c r="R67" s="2014"/>
      <c r="S67" s="2014"/>
      <c r="T67" s="2014"/>
      <c r="U67" s="2014"/>
      <c r="V67" s="2014"/>
    </row>
    <row r="68" spans="1:22" ht="25.5" customHeight="1">
      <c r="A68" s="354"/>
      <c r="B68" s="3349" t="s">
        <v>394</v>
      </c>
      <c r="C68" s="3349"/>
      <c r="D68" s="355"/>
      <c r="E68" s="77"/>
      <c r="F68" s="356"/>
      <c r="G68" s="3334"/>
      <c r="H68" s="311"/>
      <c r="I68" s="1288"/>
      <c r="J68" s="2021"/>
      <c r="K68" s="1962">
        <v>3</v>
      </c>
      <c r="L68" s="3305" t="s">
        <v>393</v>
      </c>
      <c r="M68" s="3305"/>
      <c r="N68" s="1289">
        <f ca="1">C42</f>
        <v>67456</v>
      </c>
      <c r="O68" s="1289"/>
      <c r="P68" s="1289"/>
      <c r="Q68" s="2014"/>
      <c r="R68" s="2014"/>
      <c r="S68" s="2014"/>
      <c r="T68" s="2014"/>
      <c r="U68" s="2014"/>
      <c r="V68" s="2014"/>
    </row>
    <row r="69" spans="1:22" ht="12" customHeight="1">
      <c r="A69" s="357"/>
      <c r="B69" s="3349" t="s">
        <v>395</v>
      </c>
      <c r="C69" s="3349"/>
      <c r="D69" s="358"/>
      <c r="E69" s="73"/>
      <c r="F69" s="356"/>
      <c r="G69" s="3335"/>
      <c r="H69" s="311"/>
      <c r="I69" s="1288"/>
      <c r="J69" s="2021"/>
      <c r="K69" s="1290">
        <v>4</v>
      </c>
      <c r="L69" s="3311" t="s">
        <v>2882</v>
      </c>
      <c r="M69" s="3312"/>
      <c r="N69" s="1291" t="str">
        <f>C44</f>
        <v>——</v>
      </c>
      <c r="O69" s="1291"/>
      <c r="P69" s="1291"/>
      <c r="Q69" s="2014"/>
      <c r="R69" s="2014"/>
      <c r="S69" s="2014"/>
      <c r="T69" s="2014"/>
      <c r="U69" s="2014"/>
      <c r="V69" s="2014"/>
    </row>
    <row r="70" spans="1:22" ht="24" customHeight="1">
      <c r="A70" s="359" t="s">
        <v>396</v>
      </c>
      <c r="B70" s="3349" t="s">
        <v>397</v>
      </c>
      <c r="C70" s="3349"/>
      <c r="D70" s="358">
        <f ca="1">ROUND(D63*'数据-取费表'!B41/(1+'数据-取费表'!C42),0)</f>
        <v>2159</v>
      </c>
      <c r="E70" s="17" t="s">
        <v>398</v>
      </c>
      <c r="F70" s="360">
        <f>'数据-取费表'!B41</f>
        <v>5.6000000000000001E-2</v>
      </c>
      <c r="G70" s="361"/>
      <c r="H70" s="311"/>
      <c r="I70" s="1288"/>
      <c r="J70" s="2021"/>
      <c r="K70" s="3014"/>
      <c r="L70" s="3015"/>
      <c r="M70" s="3015"/>
      <c r="N70" s="3016" t="s">
        <v>2887</v>
      </c>
      <c r="O70" s="3015"/>
      <c r="P70" s="3017"/>
      <c r="Q70" s="2014"/>
      <c r="R70" s="2014"/>
      <c r="S70" s="2014"/>
      <c r="T70" s="2014"/>
      <c r="U70" s="2014"/>
      <c r="V70" s="2014"/>
    </row>
    <row r="71" spans="1:22" ht="12" customHeight="1">
      <c r="A71" s="359" t="s">
        <v>404</v>
      </c>
      <c r="B71" s="3348" t="s">
        <v>405</v>
      </c>
      <c r="C71" s="3360"/>
      <c r="D71" s="358">
        <f ca="1">ROUND(D63*'数据-取费表'!B41/(1+'数据-取费表'!C42),0)</f>
        <v>2159</v>
      </c>
      <c r="E71" s="17" t="s">
        <v>398</v>
      </c>
      <c r="F71" s="360">
        <f>'数据-取费表'!B41</f>
        <v>5.6000000000000001E-2</v>
      </c>
      <c r="G71" s="361"/>
      <c r="H71" s="311"/>
      <c r="I71" s="1288"/>
      <c r="J71" s="2021"/>
      <c r="K71" s="3013" t="s">
        <v>399</v>
      </c>
      <c r="L71" s="3313" t="s">
        <v>400</v>
      </c>
      <c r="M71" s="3313"/>
      <c r="N71" s="3013" t="s">
        <v>401</v>
      </c>
      <c r="O71" s="3013" t="s">
        <v>402</v>
      </c>
      <c r="P71" s="3013" t="s">
        <v>403</v>
      </c>
      <c r="Q71" s="2014"/>
      <c r="R71" s="2014"/>
      <c r="S71" s="2014"/>
      <c r="T71" s="2014"/>
      <c r="U71" s="2014"/>
      <c r="V71" s="2014"/>
    </row>
    <row r="72" spans="1:22" ht="12" customHeight="1">
      <c r="A72" s="359" t="s">
        <v>407</v>
      </c>
      <c r="B72" s="3348" t="s">
        <v>408</v>
      </c>
      <c r="C72" s="3360"/>
      <c r="D72" s="358">
        <f ca="1">C86</f>
        <v>2047</v>
      </c>
      <c r="E72" s="73" t="s">
        <v>409</v>
      </c>
      <c r="F72" s="360">
        <f>'数据-取费表'!B41</f>
        <v>5.6000000000000001E-2</v>
      </c>
      <c r="G72" s="361"/>
      <c r="H72" s="1294"/>
      <c r="I72" s="1288"/>
      <c r="J72" s="2021"/>
      <c r="K72" s="1962">
        <v>1</v>
      </c>
      <c r="L72" s="3310" t="s">
        <v>406</v>
      </c>
      <c r="M72" s="3310"/>
      <c r="N72" s="1292">
        <f ca="1">D66</f>
        <v>2159</v>
      </c>
      <c r="O72" s="1845" t="str">
        <f>E66</f>
        <v>销售额×税（费）率</v>
      </c>
      <c r="P72" s="1293">
        <f>F66</f>
        <v>5.6000000000000001E-2</v>
      </c>
      <c r="Q72" s="2014"/>
      <c r="R72" s="2014"/>
      <c r="S72" s="2014"/>
      <c r="T72" s="2014"/>
      <c r="U72" s="2014"/>
      <c r="V72" s="2014"/>
    </row>
    <row r="73" spans="1:22" ht="24" customHeight="1">
      <c r="A73" s="3336" t="s">
        <v>411</v>
      </c>
      <c r="B73" s="3337"/>
      <c r="C73" s="3337"/>
      <c r="D73" s="362">
        <f>IF(H73="个人住宅",0,ROUND(D63*I73,0))</f>
        <v>0</v>
      </c>
      <c r="E73" s="17" t="s">
        <v>412</v>
      </c>
      <c r="F73" s="360" t="str">
        <f>IF(H73="正常",I73,"免征")</f>
        <v>免征</v>
      </c>
      <c r="G73" s="361"/>
      <c r="H73" s="191" t="s">
        <v>2455</v>
      </c>
      <c r="I73" s="360">
        <f>'数据-取费表'!B49</f>
        <v>5.0000000000000001E-4</v>
      </c>
      <c r="J73" s="2021"/>
      <c r="K73" s="1962">
        <v>2</v>
      </c>
      <c r="L73" s="3310" t="s">
        <v>410</v>
      </c>
      <c r="M73" s="3310"/>
      <c r="N73" s="1292">
        <f t="shared" ref="N73:P74" si="1">D73</f>
        <v>0</v>
      </c>
      <c r="O73" s="1845" t="str">
        <f t="shared" si="1"/>
        <v>销售额×税（费）率</v>
      </c>
      <c r="P73" s="1293" t="str">
        <f t="shared" si="1"/>
        <v>免征</v>
      </c>
      <c r="Q73" s="2014"/>
      <c r="R73" s="2014"/>
      <c r="S73" s="2014"/>
      <c r="T73" s="2014"/>
      <c r="U73" s="2014"/>
      <c r="V73" s="2014"/>
    </row>
    <row r="74" spans="1:22" ht="24.75">
      <c r="A74" s="3336" t="s">
        <v>415</v>
      </c>
      <c r="B74" s="3337"/>
      <c r="C74" s="3337"/>
      <c r="D74" s="362">
        <f ca="1">IF(H74="个人住宅",D75,D76)</f>
        <v>22253</v>
      </c>
      <c r="E74" s="17" t="s">
        <v>416</v>
      </c>
      <c r="F74" s="360" t="str">
        <f>IF(H74="正常",F76,"免征")</f>
        <v>——</v>
      </c>
      <c r="G74" s="983" t="s">
        <v>417</v>
      </c>
      <c r="H74" s="363" t="s">
        <v>413</v>
      </c>
      <c r="I74" s="42"/>
      <c r="J74" s="2021"/>
      <c r="K74" s="1962">
        <v>3</v>
      </c>
      <c r="L74" s="3310" t="s">
        <v>414</v>
      </c>
      <c r="M74" s="3310"/>
      <c r="N74" s="1292">
        <f t="shared" ca="1" si="1"/>
        <v>22253</v>
      </c>
      <c r="O74" s="1845" t="str">
        <f t="shared" si="1"/>
        <v>增值额×税（费）率</v>
      </c>
      <c r="P74" s="1295" t="str">
        <f t="shared" si="1"/>
        <v>——</v>
      </c>
      <c r="Q74" s="2014"/>
      <c r="R74" s="2014"/>
      <c r="S74" s="2014"/>
      <c r="T74" s="2014"/>
      <c r="U74" s="2014"/>
      <c r="V74" s="2014"/>
    </row>
    <row r="75" spans="1:22" ht="24">
      <c r="A75" s="359" t="s">
        <v>418</v>
      </c>
      <c r="B75" s="3317" t="s">
        <v>419</v>
      </c>
      <c r="C75" s="3318"/>
      <c r="D75" s="364">
        <v>0</v>
      </c>
      <c r="E75" s="41" t="s">
        <v>420</v>
      </c>
      <c r="F75" s="365"/>
      <c r="G75" s="361"/>
      <c r="H75" s="42"/>
      <c r="I75" s="42"/>
      <c r="J75" s="2021"/>
      <c r="K75" s="3006">
        <f>IF(H77="非个人房产","",4)</f>
        <v>4</v>
      </c>
      <c r="L75" s="3310" t="str">
        <f>IF(H77="非个人房产","——","个人所得税")</f>
        <v>个人所得税</v>
      </c>
      <c r="M75" s="3310"/>
      <c r="N75" s="1296">
        <f ca="1">D77</f>
        <v>405</v>
      </c>
      <c r="O75" s="1858" t="str">
        <f>E77</f>
        <v>销售额×税（费）率</v>
      </c>
      <c r="P75" s="1297">
        <f>F77</f>
        <v>0.01</v>
      </c>
      <c r="Q75" s="2014"/>
      <c r="R75" s="2014"/>
      <c r="S75" s="2014"/>
      <c r="T75" s="2014"/>
      <c r="U75" s="2014"/>
      <c r="V75" s="2014"/>
    </row>
    <row r="76" spans="1:22" ht="24.75">
      <c r="A76" s="359" t="s">
        <v>396</v>
      </c>
      <c r="B76" s="3317" t="s">
        <v>422</v>
      </c>
      <c r="C76" s="3359"/>
      <c r="D76" s="362">
        <f ca="1">IF(H76="转让取得",C99,C115)</f>
        <v>22253</v>
      </c>
      <c r="E76" s="17" t="s">
        <v>423</v>
      </c>
      <c r="F76" s="53" t="s">
        <v>21</v>
      </c>
      <c r="G76" s="361"/>
      <c r="H76" s="363" t="s">
        <v>424</v>
      </c>
      <c r="I76" s="42"/>
      <c r="J76" s="2021"/>
      <c r="K76" s="3006" t="str">
        <f>IF(项目基本情况!K6="上海银行",IF(K75="",4,K75+1),"")</f>
        <v/>
      </c>
      <c r="L76" s="3298" t="str">
        <f>IF(项目基本情况!K6="上海银行","其他处置费用","")</f>
        <v/>
      </c>
      <c r="M76" s="3299"/>
      <c r="N76" s="1292" t="str">
        <f>IF(项目基本情况!K6="上海银行",N89,"")</f>
        <v/>
      </c>
      <c r="O76" s="3300" t="str">
        <f>IF(项目基本情况!K6="上海银行","包含处置中涉及的律师、诉讼、拍卖、评估等费用","")</f>
        <v/>
      </c>
      <c r="P76" s="3301"/>
      <c r="Q76" s="2014"/>
      <c r="R76" s="2014"/>
      <c r="S76" s="2014"/>
      <c r="T76" s="2014"/>
      <c r="U76" s="2014"/>
      <c r="V76" s="2014"/>
    </row>
    <row r="77" spans="1:22" ht="26.25" thickBot="1">
      <c r="A77" s="3328" t="s">
        <v>426</v>
      </c>
      <c r="B77" s="3329"/>
      <c r="C77" s="3329"/>
      <c r="D77" s="366">
        <f ca="1">IF(H77="非个人房产","——",IF(H77="个人住宅",0,ROUND(D63*I77,0)))</f>
        <v>405</v>
      </c>
      <c r="E77" s="367" t="str">
        <f>IF(H77="非个人房产","——","销售额×税（费）率")</f>
        <v>销售额×税（费）率</v>
      </c>
      <c r="F77" s="368">
        <f>IF(H77="非个人房产","——",IF(H77="个人住宅","免征",I77))</f>
        <v>0.01</v>
      </c>
      <c r="G77" s="984" t="s">
        <v>417</v>
      </c>
      <c r="H77" s="363" t="s">
        <v>2883</v>
      </c>
      <c r="I77" s="369">
        <v>0.01</v>
      </c>
      <c r="J77" s="2021"/>
      <c r="K77" s="3324">
        <f>IF(AND(K75="",K76=""),4,IF(项目基本情况!K6="上海银行",K76+1,K75+1))</f>
        <v>5</v>
      </c>
      <c r="L77" s="3310" t="s">
        <v>2884</v>
      </c>
      <c r="M77" s="3012" t="s">
        <v>421</v>
      </c>
      <c r="N77" s="1298"/>
      <c r="O77" s="1299">
        <f ca="1">SUMIF(N72:N76,"&lt;9e307")</f>
        <v>24817</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24"/>
      <c r="L78" s="3310"/>
      <c r="M78" s="3012" t="s">
        <v>425</v>
      </c>
      <c r="N78" s="1298"/>
      <c r="O78" s="1299" t="str">
        <f ca="1">NUMBERSTRING(INT(O77*10000),2)&amp;"元整"</f>
        <v>贰亿肆仟捌佰壹拾柒万元整</v>
      </c>
      <c r="P78" s="1300"/>
      <c r="Q78" s="2014"/>
      <c r="R78" s="2014"/>
      <c r="S78" s="2014"/>
      <c r="T78" s="2014"/>
      <c r="U78" s="2014"/>
      <c r="V78" s="2014"/>
    </row>
    <row r="79" spans="1:22" ht="13.5" thickBot="1">
      <c r="A79" s="3314" t="s">
        <v>427</v>
      </c>
      <c r="B79" s="3314"/>
      <c r="C79" s="3314"/>
      <c r="D79" s="3314"/>
      <c r="E79" s="3314"/>
      <c r="F79" s="42"/>
      <c r="G79" s="42"/>
      <c r="H79" s="1003"/>
      <c r="I79" s="311"/>
      <c r="J79" s="2021"/>
      <c r="K79" s="3308">
        <f>K77+1</f>
        <v>6</v>
      </c>
      <c r="L79" s="3310" t="s">
        <v>2885</v>
      </c>
      <c r="M79" s="3012" t="s">
        <v>421</v>
      </c>
      <c r="N79" s="1298"/>
      <c r="O79" s="1299" t="e">
        <f ca="1">N69-O77</f>
        <v>#VALUE!</v>
      </c>
      <c r="P79" s="1300"/>
      <c r="Q79" s="2014"/>
      <c r="R79" s="2014"/>
      <c r="S79" s="2014"/>
      <c r="T79" s="2014"/>
      <c r="U79" s="2014"/>
      <c r="V79" s="2014"/>
    </row>
    <row r="80" spans="1:22" ht="12.75">
      <c r="A80" s="3315" t="s">
        <v>428</v>
      </c>
      <c r="B80" s="3316"/>
      <c r="C80" s="994"/>
      <c r="D80" s="994" t="s">
        <v>429</v>
      </c>
      <c r="E80" s="370" t="s">
        <v>430</v>
      </c>
      <c r="F80" s="42"/>
      <c r="G80" s="42"/>
      <c r="H80" s="1003"/>
      <c r="I80" s="311"/>
      <c r="J80" s="2014"/>
      <c r="K80" s="3309"/>
      <c r="L80" s="3310"/>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38547</v>
      </c>
      <c r="D81" s="373"/>
      <c r="E81" s="374"/>
      <c r="F81" s="42"/>
      <c r="G81" s="42"/>
      <c r="H81" s="1003"/>
      <c r="I81" s="311"/>
      <c r="J81" s="2014"/>
      <c r="K81" s="3006">
        <f>K79+1</f>
        <v>7</v>
      </c>
      <c r="L81" s="3322" t="s">
        <v>2886</v>
      </c>
      <c r="M81" s="3323"/>
      <c r="N81" s="1302"/>
      <c r="O81" s="1303" t="e">
        <f ca="1">ROUND(O79*10000/'数据-汇总表'!E3,0)</f>
        <v>#VALUE!</v>
      </c>
      <c r="P81" s="1304"/>
      <c r="Q81" s="2014"/>
      <c r="R81" s="2014"/>
      <c r="S81" s="2014"/>
      <c r="T81" s="2014"/>
      <c r="U81" s="2014"/>
      <c r="V81" s="2014"/>
    </row>
    <row r="82" spans="1:26" ht="13.5" thickTop="1">
      <c r="A82" s="375" t="s">
        <v>1824</v>
      </c>
      <c r="B82" s="376" t="s">
        <v>432</v>
      </c>
      <c r="C82" s="377">
        <f ca="1">D63</f>
        <v>40474</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97" t="s">
        <v>2873</v>
      </c>
      <c r="L83" s="3018" t="s">
        <v>2874</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2" t="s">
        <v>2938</v>
      </c>
      <c r="F84" s="42"/>
      <c r="G84" s="42"/>
      <c r="H84" s="1003"/>
      <c r="I84" s="311"/>
      <c r="J84" s="2014"/>
      <c r="K84" s="3297"/>
      <c r="L84" s="3018" t="s">
        <v>2875</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2876</v>
      </c>
      <c r="P84" s="2014"/>
      <c r="Q84" s="2014"/>
      <c r="R84" s="2014"/>
      <c r="S84" s="2014"/>
      <c r="T84" s="2014"/>
      <c r="U84" s="2014"/>
      <c r="V84" s="2014"/>
    </row>
    <row r="85" spans="1:26" ht="12.75">
      <c r="A85" s="381" t="s">
        <v>1827</v>
      </c>
      <c r="B85" s="382" t="s">
        <v>435</v>
      </c>
      <c r="C85" s="385">
        <f ca="1">C81-C84</f>
        <v>36547</v>
      </c>
      <c r="D85" s="378" t="s">
        <v>19</v>
      </c>
      <c r="E85" s="379"/>
      <c r="F85" s="42"/>
      <c r="G85" s="42"/>
      <c r="H85" s="1003"/>
      <c r="I85" s="311"/>
      <c r="J85" s="2014"/>
      <c r="K85" s="3297"/>
      <c r="L85" s="3018" t="s">
        <v>2877</v>
      </c>
      <c r="M85" s="3008" t="e">
        <f>IF(N69&gt;1000,N69*0.1%,IF(AND(N69&gt;500,N69&lt;=1000),N69*0.5%,IF(AND(N69&gt;50,N69&lt;=500),N69*1%,IF(AND(N69&gt;1,N69&lt;=50),N69*1.5%))))</f>
        <v>#VALUE!</v>
      </c>
      <c r="N85" s="53" t="e">
        <f t="shared" si="2"/>
        <v>#VALUE!</v>
      </c>
      <c r="O85" s="2014" t="s">
        <v>2876</v>
      </c>
      <c r="P85" s="2014"/>
      <c r="Q85" s="2014"/>
      <c r="R85" s="2014"/>
      <c r="S85" s="2014"/>
      <c r="T85" s="2014"/>
      <c r="U85" s="2014"/>
      <c r="V85" s="2014"/>
    </row>
    <row r="86" spans="1:26" ht="13.5" thickBot="1">
      <c r="A86" s="386" t="s">
        <v>1828</v>
      </c>
      <c r="B86" s="387" t="s">
        <v>436</v>
      </c>
      <c r="C86" s="388">
        <f ca="1">IF(C85&lt;=0,0,ROUND(C85*D86,0))</f>
        <v>2047</v>
      </c>
      <c r="D86" s="389">
        <f>'数据-取费表'!B41</f>
        <v>5.6000000000000001E-2</v>
      </c>
      <c r="E86" s="390"/>
      <c r="F86" s="42"/>
      <c r="G86" s="42"/>
      <c r="H86" s="1003"/>
      <c r="I86" s="311"/>
      <c r="J86" s="2014"/>
      <c r="K86" s="3297"/>
      <c r="L86" s="3018" t="s">
        <v>2878</v>
      </c>
      <c r="M86" s="3008" t="e">
        <f>N69*0.5%</f>
        <v>#VALUE!</v>
      </c>
      <c r="N86" s="53" t="e">
        <f>IF(M86&gt;0.5,0.5,ROUND(M86,0))</f>
        <v>#VALUE!</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97"/>
      <c r="L87" s="3018" t="s">
        <v>2880</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351" t="s">
        <v>437</v>
      </c>
      <c r="B88" s="3352"/>
      <c r="C88" s="3352"/>
      <c r="D88" s="3352"/>
      <c r="E88" s="3352"/>
      <c r="F88" s="3352"/>
      <c r="G88" s="3352"/>
      <c r="H88" s="3352"/>
      <c r="I88" s="1311"/>
      <c r="J88" s="2022"/>
      <c r="K88" s="3297"/>
      <c r="L88" s="3018" t="s">
        <v>2881</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315" t="s">
        <v>428</v>
      </c>
      <c r="B89" s="3316"/>
      <c r="C89" s="994"/>
      <c r="D89" s="994" t="s">
        <v>429</v>
      </c>
      <c r="E89" s="391" t="s">
        <v>438</v>
      </c>
      <c r="F89" s="392"/>
      <c r="G89" s="392"/>
      <c r="H89" s="393"/>
      <c r="I89" s="1312"/>
      <c r="J89" s="2024"/>
      <c r="K89" s="3297"/>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38547</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2792</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48" t="s">
        <v>447</v>
      </c>
      <c r="F94" s="3349"/>
      <c r="G94" s="3349"/>
      <c r="H94" s="335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231</v>
      </c>
      <c r="D96" s="406">
        <f>'数据-取费表'!B43</f>
        <v>6.000000000000001E-3</v>
      </c>
      <c r="E96" s="3338" t="s">
        <v>2428</v>
      </c>
      <c r="F96" s="3339"/>
      <c r="G96" s="3339"/>
      <c r="H96" s="3340"/>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35755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12.806232091690545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20476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51" t="s">
        <v>454</v>
      </c>
      <c r="B101" s="3352"/>
      <c r="C101" s="3352"/>
      <c r="D101" s="3352"/>
      <c r="E101" s="3352"/>
      <c r="F101" s="3352"/>
      <c r="G101" s="3352"/>
      <c r="H101" s="3352"/>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5" t="s">
        <v>428</v>
      </c>
      <c r="B102" s="3316"/>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38547</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921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41" t="s">
        <v>462</v>
      </c>
      <c r="F109" s="3339"/>
      <c r="G109" s="3339"/>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41" t="s">
        <v>464</v>
      </c>
      <c r="F110" s="3339"/>
      <c r="G110" s="3339"/>
      <c r="H110" s="3340"/>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231</v>
      </c>
      <c r="D111" s="406">
        <f>'数据-取费表'!B43</f>
        <v>6.000000000000001E-3</v>
      </c>
      <c r="E111" s="3338" t="s">
        <v>2428</v>
      </c>
      <c r="F111" s="3339"/>
      <c r="G111" s="3339"/>
      <c r="H111" s="3340"/>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41" t="s">
        <v>2453</v>
      </c>
      <c r="F112" s="3339"/>
      <c r="G112" s="3339"/>
      <c r="H112" s="3340"/>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37626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40.853420195439739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22253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tabColor rgb="FFFF0000"/>
  </sheetPr>
  <dimension ref="A1:H33"/>
  <sheetViews>
    <sheetView tabSelected="1" workbookViewId="0">
      <selection activeCell="G29" sqref="G29"/>
    </sheetView>
  </sheetViews>
  <sheetFormatPr defaultRowHeight="13.5"/>
  <cols>
    <col min="2" max="2" width="12.75" customWidth="1"/>
    <col min="3" max="3" width="16.125" customWidth="1"/>
    <col min="4" max="4" width="14.25" customWidth="1"/>
    <col min="5" max="5" width="22.625" customWidth="1"/>
    <col min="6" max="6" width="14.5" customWidth="1"/>
    <col min="7" max="7" width="16.125" customWidth="1"/>
    <col min="8" max="8" width="18.125" customWidth="1"/>
  </cols>
  <sheetData>
    <row r="1" spans="1:7" ht="29.25">
      <c r="A1" s="3385" t="s">
        <v>3066</v>
      </c>
      <c r="B1" s="3385"/>
      <c r="C1" s="3385"/>
      <c r="D1" s="3385"/>
      <c r="E1" s="3385"/>
      <c r="F1" s="3385"/>
    </row>
    <row r="2" spans="1:7" ht="27.75" customHeight="1">
      <c r="A2" s="3198" t="s">
        <v>3042</v>
      </c>
      <c r="B2" s="3198" t="s">
        <v>3043</v>
      </c>
      <c r="C2" s="3199" t="s">
        <v>3049</v>
      </c>
      <c r="D2" s="3198" t="s">
        <v>3044</v>
      </c>
      <c r="E2" s="3199" t="s">
        <v>3050</v>
      </c>
      <c r="F2" s="3199" t="s">
        <v>3051</v>
      </c>
    </row>
    <row r="3" spans="1:7" ht="27.75" customHeight="1">
      <c r="A3" s="3386" t="s">
        <v>3048</v>
      </c>
      <c r="B3" s="3197" t="s">
        <v>3045</v>
      </c>
      <c r="C3" s="3197">
        <f ca="1">基准地价!C29</f>
        <v>12964</v>
      </c>
      <c r="D3" s="3197">
        <v>0.3</v>
      </c>
      <c r="E3" s="3380">
        <f ca="1">ROUND(C3*D3+C4*D4,0)</f>
        <v>15037</v>
      </c>
      <c r="F3" s="3382">
        <f ca="1">ROUND(E3/4,0)</f>
        <v>3759</v>
      </c>
      <c r="G3">
        <f ca="1">C3/C4-1</f>
        <v>-0.18598518146427223</v>
      </c>
    </row>
    <row r="4" spans="1:7" ht="27.75" customHeight="1">
      <c r="A4" s="3379"/>
      <c r="B4" s="3197" t="s">
        <v>3046</v>
      </c>
      <c r="C4" s="3197">
        <f ca="1">'剩余法-待开发'!B3</f>
        <v>15926</v>
      </c>
      <c r="D4" s="3197">
        <f>1-D3</f>
        <v>0.7</v>
      </c>
      <c r="E4" s="3381"/>
      <c r="F4" s="3383"/>
      <c r="G4">
        <f ca="1">C4/C3-1</f>
        <v>0.22847886454797894</v>
      </c>
    </row>
    <row r="5" spans="1:7" ht="27.75" customHeight="1">
      <c r="A5" s="3379" t="s">
        <v>3047</v>
      </c>
      <c r="B5" s="3197" t="s">
        <v>3045</v>
      </c>
      <c r="C5" s="3197">
        <f ca="1">基准地价!C39</f>
        <v>2883</v>
      </c>
      <c r="D5" s="3197">
        <f>D3</f>
        <v>0.3</v>
      </c>
      <c r="E5" s="3380">
        <f ca="1">ROUND(C5*D5+C6*D6,0)</f>
        <v>3094</v>
      </c>
      <c r="F5" s="3382">
        <f ca="1">ROUND(E5/4,0)</f>
        <v>774</v>
      </c>
    </row>
    <row r="6" spans="1:7" ht="27.75" customHeight="1">
      <c r="A6" s="3379"/>
      <c r="B6" s="3197" t="s">
        <v>3046</v>
      </c>
      <c r="C6" s="3197">
        <f ca="1">ROUND(C4*基准地价!F39,0)</f>
        <v>3185</v>
      </c>
      <c r="D6" s="3197">
        <f>D4</f>
        <v>0.7</v>
      </c>
      <c r="E6" s="3381"/>
      <c r="F6" s="3383"/>
    </row>
    <row r="8" spans="1:7">
      <c r="A8" s="3385" t="s">
        <v>3052</v>
      </c>
      <c r="B8" s="3385"/>
      <c r="C8" s="3385"/>
      <c r="D8" s="3385"/>
      <c r="E8" s="3385"/>
      <c r="F8" s="3385"/>
    </row>
    <row r="9" spans="1:7">
      <c r="A9" s="3385"/>
      <c r="B9" s="3385"/>
      <c r="C9" s="3385"/>
      <c r="D9" s="3385"/>
      <c r="E9" s="3385"/>
      <c r="F9" s="3385"/>
    </row>
    <row r="10" spans="1:7" ht="13.5" customHeight="1">
      <c r="A10" s="3376" t="s">
        <v>3058</v>
      </c>
      <c r="B10" s="3376" t="s">
        <v>3059</v>
      </c>
      <c r="C10" s="3376" t="s">
        <v>3060</v>
      </c>
      <c r="D10" s="3376" t="s">
        <v>3065</v>
      </c>
      <c r="E10" s="3376" t="s">
        <v>3053</v>
      </c>
      <c r="F10" s="3376" t="s">
        <v>3054</v>
      </c>
    </row>
    <row r="11" spans="1:7" ht="13.5" customHeight="1">
      <c r="A11" s="3376"/>
      <c r="B11" s="3376"/>
      <c r="C11" s="3376"/>
      <c r="D11" s="3376"/>
      <c r="E11" s="3376"/>
      <c r="F11" s="3376"/>
    </row>
    <row r="12" spans="1:7" ht="13.5" customHeight="1">
      <c r="A12" s="3376"/>
      <c r="B12" s="3376"/>
      <c r="C12" s="3376"/>
      <c r="D12" s="3376"/>
      <c r="E12" s="3376"/>
      <c r="F12" s="3376"/>
    </row>
    <row r="13" spans="1:7" ht="27.75" customHeight="1">
      <c r="A13" s="3201" t="s">
        <v>3061</v>
      </c>
      <c r="B13" s="3202" t="s">
        <v>3064</v>
      </c>
      <c r="C13" s="3197">
        <f>'数据-基础表'!I5</f>
        <v>44858</v>
      </c>
      <c r="D13" s="3197">
        <f ca="1">E3</f>
        <v>15037</v>
      </c>
      <c r="E13" s="3200">
        <f t="shared" ref="E13" ca="1" si="0">ROUND(C13*D13/10000,4)</f>
        <v>67452.974600000001</v>
      </c>
      <c r="F13" s="3200">
        <f ca="1">ROUND(D13*'数据-汇总表'!I6,0)</f>
        <v>52329</v>
      </c>
    </row>
    <row r="14" spans="1:7" ht="27.75" customHeight="1">
      <c r="A14" s="3201" t="s">
        <v>3062</v>
      </c>
      <c r="B14" s="3197" t="s">
        <v>3063</v>
      </c>
      <c r="C14" s="3197">
        <f>'数据-基础表'!K5</f>
        <v>8303</v>
      </c>
      <c r="D14" s="3197">
        <f ca="1">E5</f>
        <v>3094</v>
      </c>
      <c r="E14" s="3200">
        <f ca="1">ROUND(C14*D14/10000,4)</f>
        <v>2568.9481999999998</v>
      </c>
      <c r="F14" s="3200">
        <f ca="1">ROUND(D14*'数据-汇总表'!I6,0)</f>
        <v>10767</v>
      </c>
    </row>
    <row r="15" spans="1:7" ht="15">
      <c r="A15" s="3384" t="s">
        <v>24</v>
      </c>
      <c r="B15" s="3384"/>
      <c r="C15" s="3200">
        <f>SUM(C13:C14)</f>
        <v>53161</v>
      </c>
      <c r="D15" s="3200" t="s">
        <v>3057</v>
      </c>
      <c r="E15" s="3200">
        <f ca="1">SUM(E13:E14)</f>
        <v>70021.9228</v>
      </c>
      <c r="F15" s="3200" t="s">
        <v>3057</v>
      </c>
    </row>
    <row r="17" spans="1:8" ht="29.25">
      <c r="A17" s="3377" t="s">
        <v>3070</v>
      </c>
      <c r="B17" s="3377"/>
      <c r="C17" s="3377"/>
      <c r="D17" s="3377"/>
      <c r="E17" s="3377"/>
      <c r="F17" s="3203"/>
    </row>
    <row r="18" spans="1:8" ht="14.25" customHeight="1">
      <c r="A18" s="3376" t="s">
        <v>3058</v>
      </c>
      <c r="B18" s="3376" t="s">
        <v>3059</v>
      </c>
      <c r="C18" s="3376" t="s">
        <v>3060</v>
      </c>
      <c r="D18" s="3376" t="s">
        <v>3067</v>
      </c>
      <c r="E18" s="3376" t="s">
        <v>3068</v>
      </c>
    </row>
    <row r="19" spans="1:8" ht="14.25" customHeight="1">
      <c r="A19" s="3376"/>
      <c r="B19" s="3376"/>
      <c r="C19" s="3376"/>
      <c r="D19" s="3376"/>
      <c r="E19" s="3376"/>
    </row>
    <row r="20" spans="1:8" ht="14.25" customHeight="1">
      <c r="A20" s="3376"/>
      <c r="B20" s="3376"/>
      <c r="C20" s="3376"/>
      <c r="D20" s="3376"/>
      <c r="E20" s="3376"/>
    </row>
    <row r="21" spans="1:8" ht="27.75" customHeight="1">
      <c r="A21" s="3201" t="s">
        <v>3072</v>
      </c>
      <c r="B21" s="3197" t="s">
        <v>3064</v>
      </c>
      <c r="C21" s="3197">
        <f>'数据-基础表'!I13</f>
        <v>44858</v>
      </c>
      <c r="D21" s="3197">
        <f ca="1">F3</f>
        <v>3759</v>
      </c>
      <c r="E21" s="3200">
        <f t="shared" ref="E21:E22" ca="1" si="1">ROUND(C21*D21/10000,4)</f>
        <v>16862.122200000002</v>
      </c>
    </row>
    <row r="22" spans="1:8" ht="27.75" customHeight="1">
      <c r="A22" s="3201" t="s">
        <v>3055</v>
      </c>
      <c r="B22" s="3197" t="s">
        <v>3056</v>
      </c>
      <c r="C22" s="3197">
        <f>'数据-基础表'!K14</f>
        <v>8303</v>
      </c>
      <c r="D22" s="3197">
        <f ca="1">F5</f>
        <v>774</v>
      </c>
      <c r="E22" s="3200">
        <f t="shared" ca="1" si="1"/>
        <v>642.65219999999999</v>
      </c>
    </row>
    <row r="23" spans="1:8" ht="27.75" customHeight="1">
      <c r="A23" s="3374" t="s">
        <v>3073</v>
      </c>
      <c r="B23" s="3375"/>
      <c r="C23" s="3197">
        <f>SUM(C21:C22)</f>
        <v>53161</v>
      </c>
      <c r="D23" s="3197" t="s">
        <v>3057</v>
      </c>
      <c r="E23" s="3200">
        <f ca="1">SUM(E21:E22)</f>
        <v>17504.774400000002</v>
      </c>
    </row>
    <row r="25" spans="1:8" ht="30" thickBot="1">
      <c r="A25" s="3378" t="s">
        <v>3071</v>
      </c>
      <c r="B25" s="3378"/>
      <c r="C25" s="3378"/>
      <c r="D25" s="3378"/>
      <c r="E25" s="3378"/>
      <c r="F25" s="3378"/>
      <c r="G25" s="3378"/>
      <c r="H25" s="3378"/>
    </row>
    <row r="26" spans="1:8" ht="14.25" customHeight="1">
      <c r="A26" s="3376" t="s">
        <v>3058</v>
      </c>
      <c r="B26" s="3376" t="s">
        <v>3059</v>
      </c>
      <c r="C26" s="3376" t="s">
        <v>3060</v>
      </c>
      <c r="D26" s="3376" t="s">
        <v>3067</v>
      </c>
      <c r="E26" s="3376" t="s">
        <v>3069</v>
      </c>
      <c r="F26" s="3376" t="s">
        <v>3078</v>
      </c>
      <c r="G26" s="3376" t="s">
        <v>3079</v>
      </c>
      <c r="H26" s="3376" t="s">
        <v>3075</v>
      </c>
    </row>
    <row r="27" spans="1:8" ht="14.25" customHeight="1">
      <c r="A27" s="3376"/>
      <c r="B27" s="3376"/>
      <c r="C27" s="3376"/>
      <c r="D27" s="3376"/>
      <c r="E27" s="3376"/>
      <c r="F27" s="3376"/>
      <c r="G27" s="3376"/>
      <c r="H27" s="3376"/>
    </row>
    <row r="28" spans="1:8" ht="25.5" customHeight="1">
      <c r="A28" s="3376"/>
      <c r="B28" s="3376"/>
      <c r="C28" s="3376"/>
      <c r="D28" s="3376"/>
      <c r="E28" s="3376"/>
      <c r="F28" s="3376"/>
      <c r="G28" s="3376"/>
      <c r="H28" s="3376"/>
    </row>
    <row r="29" spans="1:8" ht="27.75" customHeight="1">
      <c r="A29" s="3201" t="s">
        <v>3072</v>
      </c>
      <c r="B29" s="3197" t="s">
        <v>3064</v>
      </c>
      <c r="C29" s="3197">
        <f>C21</f>
        <v>44858</v>
      </c>
      <c r="D29" s="3207">
        <f ca="1">D21</f>
        <v>3759</v>
      </c>
      <c r="E29" s="3200">
        <f ca="1">D29+E33</f>
        <v>11814.02</v>
      </c>
      <c r="F29" s="3206">
        <f ca="1">ROUND(F33*基准地价!C18*基准地价!C19*基准地价!C20*基准地价!C21*基准地价!C24,0)</f>
        <v>10397</v>
      </c>
      <c r="G29" s="3200">
        <f ca="1">ROUND(F29*0.25,0)</f>
        <v>2599</v>
      </c>
      <c r="H29" s="3200">
        <f ca="1">ROUND(C29*D29/10000,0)</f>
        <v>16862</v>
      </c>
    </row>
    <row r="30" spans="1:8" ht="27.75" customHeight="1">
      <c r="A30" s="3201" t="s">
        <v>3055</v>
      </c>
      <c r="B30" s="3197" t="s">
        <v>3056</v>
      </c>
      <c r="C30" s="3197">
        <f>C22</f>
        <v>8303</v>
      </c>
      <c r="D30" s="3207">
        <f ca="1">D22</f>
        <v>774</v>
      </c>
      <c r="E30" s="3200">
        <f ca="1">D30+E33</f>
        <v>8829.02</v>
      </c>
      <c r="F30" s="3206">
        <f ca="1">ROUND(F33*基准地价!C19*基准地价!C41*基准地价!C24*基准地价!F39,0)</f>
        <v>2312</v>
      </c>
      <c r="G30" s="3200">
        <f ca="1">F30*0.25</f>
        <v>578</v>
      </c>
      <c r="H30" s="3200">
        <f ca="1">ROUND(C30*D30/10000,0)</f>
        <v>643</v>
      </c>
    </row>
    <row r="31" spans="1:8" ht="27.75" customHeight="1">
      <c r="A31" s="3374" t="s">
        <v>3074</v>
      </c>
      <c r="B31" s="3375"/>
      <c r="C31" s="3197">
        <f>SUM(C29:C30)</f>
        <v>53161</v>
      </c>
      <c r="D31" s="3197" t="str">
        <f>D23</f>
        <v>——</v>
      </c>
      <c r="E31" s="3200" t="s">
        <v>3077</v>
      </c>
      <c r="F31" s="3200" t="s">
        <v>3077</v>
      </c>
      <c r="G31" s="3200" t="s">
        <v>3077</v>
      </c>
      <c r="H31" s="3200">
        <f ca="1">SUM(H29:H30)</f>
        <v>17505</v>
      </c>
    </row>
    <row r="33" spans="4:6">
      <c r="D33" s="3204" t="s">
        <v>3076</v>
      </c>
      <c r="E33">
        <v>8055.02</v>
      </c>
      <c r="F33">
        <v>8060</v>
      </c>
    </row>
  </sheetData>
  <mergeCells count="32">
    <mergeCell ref="A1:F1"/>
    <mergeCell ref="A8:F9"/>
    <mergeCell ref="A10:A12"/>
    <mergeCell ref="B10:B12"/>
    <mergeCell ref="C10:C12"/>
    <mergeCell ref="D10:D12"/>
    <mergeCell ref="E10:E12"/>
    <mergeCell ref="F10:F12"/>
    <mergeCell ref="A3:A4"/>
    <mergeCell ref="E3:E4"/>
    <mergeCell ref="F3:F4"/>
    <mergeCell ref="E18:E20"/>
    <mergeCell ref="A5:A6"/>
    <mergeCell ref="E5:E6"/>
    <mergeCell ref="F5:F6"/>
    <mergeCell ref="A15:B15"/>
    <mergeCell ref="A31:B31"/>
    <mergeCell ref="F26:F28"/>
    <mergeCell ref="G26:G28"/>
    <mergeCell ref="H26:H28"/>
    <mergeCell ref="A17:E17"/>
    <mergeCell ref="A25:H25"/>
    <mergeCell ref="A23:B23"/>
    <mergeCell ref="A26:A28"/>
    <mergeCell ref="B26:B28"/>
    <mergeCell ref="C26:C28"/>
    <mergeCell ref="D26:D28"/>
    <mergeCell ref="E26:E28"/>
    <mergeCell ref="A18:A20"/>
    <mergeCell ref="B18:B20"/>
    <mergeCell ref="C18:C20"/>
    <mergeCell ref="D18:D20"/>
  </mergeCells>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C11" sqref="C11"/>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t="s">
        <v>1677</v>
      </c>
      <c r="C1" s="2090"/>
      <c r="D1" s="2090"/>
      <c r="E1" s="2090"/>
      <c r="F1" s="2090"/>
      <c r="G1" s="2090"/>
      <c r="H1" s="2090"/>
      <c r="I1" s="2090"/>
      <c r="J1" s="2090"/>
      <c r="K1" s="422">
        <f>MATCH(B1,'数据-取费表'!A6:A16,0)+5</f>
        <v>6</v>
      </c>
    </row>
    <row r="2" spans="1:31" s="2027" customFormat="1" ht="18" customHeight="1">
      <c r="A2" s="2087" t="s">
        <v>467</v>
      </c>
      <c r="B2" s="2091">
        <f ca="1">C36</f>
        <v>71443</v>
      </c>
      <c r="C2" s="2090"/>
      <c r="D2" s="2090"/>
      <c r="E2" s="2090"/>
      <c r="F2" s="2090"/>
      <c r="G2" s="2090"/>
      <c r="H2" s="2090"/>
      <c r="I2" s="2090"/>
      <c r="J2" s="2090"/>
      <c r="K2" s="2090"/>
    </row>
    <row r="3" spans="1:31" s="2027" customFormat="1" ht="18" customHeight="1">
      <c r="A3" s="2092" t="s">
        <v>1684</v>
      </c>
      <c r="B3" s="2093">
        <f ca="1">ROUND(B2*10000/IF(B1="",'数据-汇总表'!E3,INDIRECT("'数据-取费表'!K"&amp;$K$1)),0)</f>
        <v>15926</v>
      </c>
      <c r="C3" s="2090"/>
      <c r="D3" s="2090"/>
      <c r="E3" s="2090"/>
      <c r="F3" s="2090"/>
      <c r="G3" s="2090"/>
      <c r="H3" s="2090"/>
      <c r="I3" s="2090"/>
      <c r="J3" s="2090"/>
      <c r="K3" s="2090"/>
    </row>
    <row r="4" spans="1:31" s="2027" customFormat="1" ht="18" customHeight="1">
      <c r="A4" s="426" t="s">
        <v>468</v>
      </c>
      <c r="B4" s="427">
        <f ca="1">ROUND(B2*10000/IF(B1="",'数据-汇总表'!D3,INDIRECT("'数据-取费表'!R"&amp;$K$1)),0)</f>
        <v>65720</v>
      </c>
      <c r="C4" s="428"/>
      <c r="D4" s="422"/>
      <c r="E4" s="422"/>
      <c r="F4" s="422"/>
      <c r="G4" s="422"/>
      <c r="H4" s="422"/>
      <c r="I4" s="422"/>
      <c r="J4" s="422"/>
      <c r="K4" s="422"/>
    </row>
    <row r="5" spans="1:31" s="2027" customFormat="1" ht="18" customHeight="1" thickBot="1">
      <c r="A5" s="429"/>
      <c r="B5" s="430">
        <f ca="1">ROUND(B2/(IF(B1="",'数据-汇总表'!D3,INDIRECT("'数据-取费表'!R"&amp;$K$1))/666.67),0)</f>
        <v>4381</v>
      </c>
      <c r="C5" s="431" t="s">
        <v>469</v>
      </c>
      <c r="D5" s="422"/>
      <c r="E5" s="422"/>
      <c r="F5" s="422"/>
      <c r="G5" s="422"/>
      <c r="H5" s="422"/>
      <c r="I5" s="422"/>
      <c r="J5" s="422"/>
      <c r="K5" s="422"/>
    </row>
    <row r="6" spans="1:31" s="2097" customFormat="1" ht="16.5" customHeight="1">
      <c r="A6" s="2784" t="s">
        <v>1842</v>
      </c>
      <c r="B6" s="2785"/>
      <c r="C6" s="2786">
        <f ca="1">SUM(C10:K10)</f>
        <v>123830</v>
      </c>
      <c r="D6" s="2785"/>
      <c r="E6" s="2785"/>
      <c r="F6" s="2785"/>
      <c r="G6" s="2785"/>
      <c r="H6" s="2785"/>
      <c r="I6" s="2785"/>
      <c r="J6" s="2785"/>
      <c r="K6" s="2787"/>
    </row>
    <row r="7" spans="1:31" s="2099" customFormat="1" ht="15">
      <c r="A7" s="2788" t="s">
        <v>470</v>
      </c>
      <c r="B7" s="2789" t="s">
        <v>471</v>
      </c>
      <c r="C7" s="436" t="s">
        <v>1677</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不动产收益法!B3</f>
        <v>27605</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44858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不动产收益法!C40</f>
        <v>123830</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13457</v>
      </c>
      <c r="D13" s="2800"/>
      <c r="E13" s="2801"/>
      <c r="F13" s="2802"/>
      <c r="G13" s="2768"/>
      <c r="H13" s="2769"/>
      <c r="I13" s="2769"/>
      <c r="J13" s="2769"/>
      <c r="K13" s="2770"/>
    </row>
    <row r="14" spans="1:31" s="2102" customFormat="1" ht="13.5" customHeight="1">
      <c r="A14" s="2798" t="s">
        <v>1849</v>
      </c>
      <c r="B14" s="2799" t="s">
        <v>480</v>
      </c>
      <c r="C14" s="53">
        <f ca="1">ROUND(C13*F14,0)</f>
        <v>404</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897</v>
      </c>
      <c r="D16" s="2800">
        <f ca="1">IF(B1="",'数据-汇总表'!E3,INDIRECT("'数据-取费表'!K"&amp;$K$1)+INDIRECT("'数据-取费表'!S"&amp;$K$1))</f>
        <v>44858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202</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14960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44858</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897</v>
      </c>
      <c r="D20" s="2810"/>
      <c r="E20" s="2764"/>
      <c r="F20" s="2811"/>
      <c r="G20" s="3040" t="s">
        <v>3041</v>
      </c>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160</v>
      </c>
      <c r="F21" s="2803"/>
      <c r="G21" s="26"/>
      <c r="H21" s="51"/>
      <c r="I21" s="51"/>
      <c r="J21" s="51"/>
      <c r="K21" s="2775"/>
    </row>
    <row r="22" spans="1:14" s="2102" customFormat="1" ht="13.5" customHeight="1">
      <c r="A22" s="2798" t="s">
        <v>1857</v>
      </c>
      <c r="B22" s="2799" t="s">
        <v>492</v>
      </c>
      <c r="C22" s="53">
        <f ca="1">ROUND(D22*E22/10000,0)</f>
        <v>897</v>
      </c>
      <c r="D22" s="2800">
        <f ca="1">IF(B1="",'数据-汇总表'!E6,IF(INDIRECT("'数据-取费表'!c"&amp;$K$1)="住宅",INDIRECT("'数据-取费表'!s"&amp;$K$1),INDIRECT("'数据-取费表'!k"&amp;$K$1)+INDIRECT("'数据-取费表'!s"&amp;$K$1)))</f>
        <v>44858</v>
      </c>
      <c r="E22" s="53">
        <f>'数据-取费表'!B28</f>
        <v>200</v>
      </c>
      <c r="F22" s="2803"/>
      <c r="G22" s="26"/>
      <c r="H22" s="51"/>
      <c r="I22" s="51"/>
      <c r="J22" s="51"/>
      <c r="K22" s="2775"/>
    </row>
    <row r="23" spans="1:14" s="2102" customFormat="1" ht="13.5" customHeight="1">
      <c r="A23" s="2806" t="s">
        <v>1858</v>
      </c>
      <c r="B23" s="2988" t="s">
        <v>2833</v>
      </c>
      <c r="C23" s="2808">
        <f ca="1">ROUND((C18+C19+C20)*F23,0)</f>
        <v>317</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2836</v>
      </c>
      <c r="C24" s="2808">
        <f ca="1">ROUND(C6*F24,0)</f>
        <v>1238</v>
      </c>
      <c r="D24" s="475"/>
      <c r="E24" s="473"/>
      <c r="F24" s="2812">
        <f>'数据-取费表'!B38</f>
        <v>0.01</v>
      </c>
      <c r="G24" s="2777" t="s">
        <v>499</v>
      </c>
      <c r="H24" s="2771"/>
      <c r="I24" s="2771"/>
      <c r="J24" s="2771"/>
      <c r="K24" s="279"/>
      <c r="L24" s="2104"/>
      <c r="M24" s="2104"/>
      <c r="N24" s="2104"/>
    </row>
    <row r="25" spans="1:14" s="2105" customFormat="1" ht="13.5" customHeight="1">
      <c r="A25" s="2806" t="s">
        <v>1860</v>
      </c>
      <c r="B25" s="2988" t="s">
        <v>2834</v>
      </c>
      <c r="C25" s="3187">
        <f>ROUND(F25,4)</f>
        <v>3.0499999999999999E-2</v>
      </c>
      <c r="D25" s="462" t="s">
        <v>2828</v>
      </c>
      <c r="E25" s="469"/>
      <c r="F25" s="2812">
        <v>3.0499999999999999E-2</v>
      </c>
      <c r="G25" s="2776" t="s">
        <v>2289</v>
      </c>
      <c r="H25" s="2769"/>
      <c r="I25" s="2769"/>
      <c r="J25" s="2769"/>
      <c r="K25" s="2770"/>
    </row>
    <row r="26" spans="1:14" s="2104" customFormat="1" ht="13.5" customHeight="1">
      <c r="A26" s="2806" t="s">
        <v>1861</v>
      </c>
      <c r="B26" s="2989" t="s">
        <v>2835</v>
      </c>
      <c r="C26" s="2813">
        <f ca="1">C28</f>
        <v>827</v>
      </c>
      <c r="D26" s="467">
        <f ca="1">C27</f>
        <v>0.1002</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0.1002</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827</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6604</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24843</v>
      </c>
      <c r="D30" s="477">
        <f ca="1">C32</f>
        <v>0.13070000000000001</v>
      </c>
      <c r="E30" s="469" t="s">
        <v>495</v>
      </c>
      <c r="F30" s="471"/>
      <c r="G30" s="2776" t="s">
        <v>2970</v>
      </c>
      <c r="H30" s="2769"/>
      <c r="I30" s="2769"/>
      <c r="J30" s="2769"/>
      <c r="K30" s="2770"/>
    </row>
    <row r="31" spans="1:14" s="2106" customFormat="1" ht="13.5" customHeight="1">
      <c r="A31" s="803" t="s">
        <v>1856</v>
      </c>
      <c r="B31" s="2814"/>
      <c r="C31" s="450">
        <f ca="1">C18+C19+C20+C23+C24+C26+C29</f>
        <v>24843</v>
      </c>
      <c r="D31" s="472"/>
      <c r="E31" s="473"/>
      <c r="F31" s="474"/>
      <c r="G31" s="261"/>
      <c r="H31" s="2771"/>
      <c r="I31" s="2771"/>
      <c r="J31" s="2771"/>
      <c r="K31" s="279"/>
    </row>
    <row r="32" spans="1:14" s="2106" customFormat="1" ht="13.5" customHeight="1">
      <c r="A32" s="803" t="s">
        <v>1857</v>
      </c>
      <c r="B32" s="2814"/>
      <c r="C32" s="53">
        <f ca="1">ROUND(C25+D26,4)</f>
        <v>0.13070000000000001</v>
      </c>
      <c r="D32" s="472"/>
      <c r="E32" s="473"/>
      <c r="F32" s="474"/>
      <c r="G32" s="261"/>
      <c r="H32" s="2771"/>
      <c r="I32" s="2771"/>
      <c r="J32" s="2771"/>
      <c r="K32" s="279"/>
    </row>
    <row r="33" spans="1:11" s="2108" customFormat="1" ht="13.5" customHeight="1">
      <c r="A33" s="2987" t="s">
        <v>2832</v>
      </c>
      <c r="B33" s="2985" t="s">
        <v>2830</v>
      </c>
      <c r="C33" s="478">
        <f ca="1">C35</f>
        <v>3482</v>
      </c>
      <c r="D33" s="467">
        <f ca="1">C34</f>
        <v>0.20610000000000001</v>
      </c>
      <c r="E33" s="469" t="s">
        <v>495</v>
      </c>
      <c r="F33" s="479">
        <f ca="1">IF(B1="",'数据-取费表'!Q16,INDIRECT("'数据-取费表'!q"&amp;$K$1))</f>
        <v>0.2</v>
      </c>
      <c r="G33" s="2772"/>
      <c r="H33" s="2773"/>
      <c r="I33" s="2773"/>
      <c r="J33" s="2773"/>
      <c r="K33" s="2774"/>
    </row>
    <row r="34" spans="1:11" s="2109" customFormat="1" ht="13.5" customHeight="1">
      <c r="A34" s="375" t="s">
        <v>1856</v>
      </c>
      <c r="B34" s="2819" t="s">
        <v>501</v>
      </c>
      <c r="C34" s="472">
        <f ca="1">ROUND((1+C25)*F33,4)</f>
        <v>0.20610000000000001</v>
      </c>
      <c r="D34" s="472"/>
      <c r="E34" s="473"/>
      <c r="F34" s="480"/>
      <c r="G34" s="261" t="s">
        <v>2290</v>
      </c>
      <c r="H34" s="2771"/>
      <c r="I34" s="2771"/>
      <c r="J34" s="2771"/>
      <c r="K34" s="279"/>
    </row>
    <row r="35" spans="1:11" s="2109" customFormat="1" ht="13.5" customHeight="1" thickBot="1">
      <c r="A35" s="1622" t="s">
        <v>1857</v>
      </c>
      <c r="B35" s="2986" t="s">
        <v>2838</v>
      </c>
      <c r="C35" s="1614">
        <f ca="1">ROUND((C18+C19+C20+C23+C24)*F33,0)</f>
        <v>3482</v>
      </c>
      <c r="D35" s="1615"/>
      <c r="E35" s="2820"/>
      <c r="F35" s="1616"/>
      <c r="G35" s="2778"/>
      <c r="H35" s="2779"/>
      <c r="I35" s="2779"/>
      <c r="J35" s="2779"/>
      <c r="K35" s="2780"/>
    </row>
    <row r="36" spans="1:11" s="2071" customFormat="1" ht="13.5" customHeight="1" thickBot="1">
      <c r="A36" s="284" t="s">
        <v>1844</v>
      </c>
      <c r="B36" s="2782"/>
      <c r="C36" s="2821">
        <f ca="1">ROUND((C6-C30-C33)/(1+D30+D33),0)</f>
        <v>71443</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09" t="str">
        <f>项目基本情况!B1</f>
        <v>北京市丰台区吴家村首钢二通产业园区1615-615地块文化创意产业大厦项目出让国有建设用地使用权市场价格预评估</v>
      </c>
      <c r="C37" s="3209"/>
      <c r="D37" s="3209"/>
      <c r="E37" s="3209"/>
      <c r="F37" s="3209"/>
      <c r="G37" s="3209"/>
      <c r="H37" s="3209"/>
      <c r="I37" s="3209"/>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叶凌、陈颖</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15533</v>
      </c>
      <c r="D13" s="451"/>
      <c r="E13" s="365"/>
      <c r="F13" s="452"/>
      <c r="G13" s="444"/>
      <c r="H13" s="447"/>
      <c r="I13" s="447"/>
      <c r="J13" s="447"/>
      <c r="K13" s="448"/>
    </row>
    <row r="14" spans="1:41" s="2102" customFormat="1" ht="13.5" customHeight="1">
      <c r="A14" s="1619" t="s">
        <v>1849</v>
      </c>
      <c r="B14" s="449" t="s">
        <v>480</v>
      </c>
      <c r="C14" s="53">
        <f ca="1">ROUND(C13*F14,0)</f>
        <v>466</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1063</v>
      </c>
      <c r="D16" s="451">
        <f ca="1">IF(B1="",'数据-汇总表'!E3,INDIRECT("'数据-取费表'!K"&amp;$K$1)+INDIRECT("'数据-取费表'!S"&amp;$K$1))</f>
        <v>53161</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233</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17295</v>
      </c>
      <c r="D18" s="461"/>
      <c r="E18" s="462"/>
      <c r="F18" s="462"/>
      <c r="G18" s="1323" t="s">
        <v>2432</v>
      </c>
      <c r="H18" s="447"/>
      <c r="I18" s="447"/>
      <c r="J18" s="447"/>
      <c r="K18" s="448"/>
    </row>
    <row r="19" spans="1:14" s="2105" customFormat="1" ht="13.5" customHeight="1">
      <c r="A19" s="1620" t="s">
        <v>1854</v>
      </c>
      <c r="B19" s="459" t="s">
        <v>493</v>
      </c>
      <c r="C19" s="460">
        <f ca="1">ROUND(C18*F19,0)</f>
        <v>346</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0.01</v>
      </c>
      <c r="D20" s="469" t="s">
        <v>505</v>
      </c>
      <c r="E20" s="469"/>
      <c r="F20" s="486">
        <f>'数据-取费表'!B38</f>
        <v>0.01</v>
      </c>
      <c r="G20" s="1323" t="s">
        <v>506</v>
      </c>
      <c r="H20" s="447"/>
      <c r="I20" s="447"/>
      <c r="J20" s="447"/>
      <c r="K20" s="448"/>
      <c r="L20" s="2107"/>
      <c r="M20" s="2107"/>
      <c r="N20" s="2107"/>
    </row>
    <row r="21" spans="1:14" s="2107" customFormat="1" ht="13.5" customHeight="1">
      <c r="A21" s="1620" t="s">
        <v>1858</v>
      </c>
      <c r="B21" s="461" t="s">
        <v>494</v>
      </c>
      <c r="C21" s="470">
        <f ca="1">C22</f>
        <v>838</v>
      </c>
      <c r="D21" s="467">
        <f ca="1">C23</f>
        <v>5.0000000000000001E-4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838</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5.0000000000000001E-4</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2831</v>
      </c>
      <c r="C24" s="478">
        <f ca="1">C25</f>
        <v>3175</v>
      </c>
      <c r="D24" s="489">
        <f ca="1">C26</f>
        <v>1.8E-3</v>
      </c>
      <c r="E24" s="469" t="s">
        <v>507</v>
      </c>
      <c r="F24" s="479">
        <f ca="1">IF(B1="",'数据-取费表'!Q16,INDIRECT("'数据-取费表'!q"&amp;$K$1))</f>
        <v>0.18</v>
      </c>
      <c r="G24" s="444"/>
      <c r="H24" s="447"/>
      <c r="I24" s="447"/>
      <c r="J24" s="447"/>
      <c r="K24" s="448"/>
    </row>
    <row r="25" spans="1:14" s="2106" customFormat="1" ht="13.5" customHeight="1">
      <c r="A25" s="1619" t="s">
        <v>1848</v>
      </c>
      <c r="B25" s="1324" t="s">
        <v>2436</v>
      </c>
      <c r="C25" s="490">
        <f ca="1">ROUND((C18+C19)*F24,0)</f>
        <v>3175</v>
      </c>
      <c r="D25" s="472"/>
      <c r="E25" s="473"/>
      <c r="F25" s="480"/>
      <c r="G25" s="1322" t="s">
        <v>2433</v>
      </c>
      <c r="H25" s="457"/>
      <c r="I25" s="457"/>
      <c r="J25" s="457"/>
      <c r="K25" s="458"/>
    </row>
    <row r="26" spans="1:14" s="2106" customFormat="1" ht="13.5" customHeight="1">
      <c r="A26" s="1619" t="s">
        <v>1849</v>
      </c>
      <c r="B26" s="1324" t="s">
        <v>509</v>
      </c>
      <c r="C26" s="491">
        <f ca="1">ROUND(F20*F24,4)</f>
        <v>1.8E-3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2829</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23174</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4" zoomScale="80" zoomScaleNormal="95" zoomScaleSheetLayoutView="80" workbookViewId="0">
      <selection activeCell="C40" sqref="C40"/>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9" t="s">
        <v>522</v>
      </c>
      <c r="D6" s="3410"/>
      <c r="E6" s="3409" t="s">
        <v>523</v>
      </c>
      <c r="F6" s="3410"/>
      <c r="G6" s="3409" t="s">
        <v>524</v>
      </c>
      <c r="H6" s="3410"/>
      <c r="I6" s="3409" t="s">
        <v>525</v>
      </c>
      <c r="J6" s="3410"/>
      <c r="K6" s="514" t="s">
        <v>526</v>
      </c>
      <c r="L6" s="2119"/>
      <c r="M6" s="2118"/>
      <c r="N6" s="2118"/>
      <c r="O6" s="2120"/>
      <c r="P6" s="3411" t="s">
        <v>527</v>
      </c>
      <c r="Q6" s="3412"/>
      <c r="R6" s="3397" t="s">
        <v>523</v>
      </c>
      <c r="S6" s="3398"/>
      <c r="T6" s="3397" t="s">
        <v>524</v>
      </c>
      <c r="U6" s="3398"/>
      <c r="V6" s="3417" t="s">
        <v>525</v>
      </c>
      <c r="W6" s="3417"/>
      <c r="X6" s="1554"/>
      <c r="Y6" s="3397" t="s">
        <v>527</v>
      </c>
      <c r="Z6" s="3398"/>
      <c r="AA6" s="3392" t="s">
        <v>523</v>
      </c>
      <c r="AB6" s="3393" t="s">
        <v>524</v>
      </c>
      <c r="AC6" s="3392" t="s">
        <v>525</v>
      </c>
    </row>
    <row r="7" spans="1:30" ht="20.25">
      <c r="A7" s="515"/>
      <c r="B7" s="516"/>
      <c r="C7" s="3420" t="str">
        <f>'不动产比较法-办公'!C5:D5</f>
        <v>首钢二通产业园区</v>
      </c>
      <c r="D7" s="3421"/>
      <c r="E7" s="3420" t="s">
        <v>2928</v>
      </c>
      <c r="F7" s="3421"/>
      <c r="G7" s="3420" t="s">
        <v>2929</v>
      </c>
      <c r="H7" s="3421"/>
      <c r="I7" s="3420" t="s">
        <v>2930</v>
      </c>
      <c r="J7" s="3421"/>
      <c r="K7" s="514"/>
      <c r="L7" s="2119"/>
      <c r="M7" s="2118"/>
      <c r="N7" s="2118"/>
      <c r="O7" s="2120"/>
      <c r="P7" s="3413"/>
      <c r="Q7" s="3414"/>
      <c r="R7" s="3399"/>
      <c r="S7" s="3400"/>
      <c r="T7" s="3399"/>
      <c r="U7" s="3400"/>
      <c r="V7" s="3417"/>
      <c r="W7" s="3417"/>
      <c r="X7" s="1554"/>
      <c r="Y7" s="3399"/>
      <c r="Z7" s="3400"/>
      <c r="AA7" s="3393"/>
      <c r="AB7" s="3393"/>
      <c r="AC7" s="3393"/>
    </row>
    <row r="8" spans="1:30" ht="21" thickBot="1">
      <c r="A8" s="515"/>
      <c r="B8" s="516"/>
      <c r="C8" s="3422" t="str">
        <f>'不动产比较法-办公'!C6:D6</f>
        <v>丰台区吴家村首钢二通产业园区1615-615地块文化创意产业大厦项目</v>
      </c>
      <c r="D8" s="3423"/>
      <c r="E8" s="3424" t="s">
        <v>2931</v>
      </c>
      <c r="F8" s="3423"/>
      <c r="G8" s="3418" t="s">
        <v>2931</v>
      </c>
      <c r="H8" s="3419"/>
      <c r="I8" s="3418" t="s">
        <v>2931</v>
      </c>
      <c r="J8" s="3419"/>
      <c r="K8" s="514" t="s">
        <v>528</v>
      </c>
      <c r="L8" s="2119"/>
      <c r="M8" s="2118"/>
      <c r="N8" s="2118"/>
      <c r="O8" s="2120"/>
      <c r="P8" s="3415"/>
      <c r="Q8" s="3416"/>
      <c r="R8" s="3399"/>
      <c r="S8" s="3400"/>
      <c r="T8" s="3401"/>
      <c r="U8" s="3402"/>
      <c r="V8" s="3417"/>
      <c r="W8" s="3417"/>
      <c r="X8" s="1554"/>
      <c r="Y8" s="3401"/>
      <c r="Z8" s="3402"/>
      <c r="AA8" s="3394"/>
      <c r="AB8" s="3394"/>
      <c r="AC8" s="3394"/>
    </row>
    <row r="9" spans="1:30" s="1216" customFormat="1" ht="21" thickBot="1">
      <c r="A9" s="2868"/>
      <c r="B9" s="2875" t="s">
        <v>529</v>
      </c>
      <c r="C9" s="2867">
        <f>'数据-取费表'!B2</f>
        <v>43570</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395" t="s">
        <v>530</v>
      </c>
      <c r="Q9" s="3404"/>
      <c r="R9" s="1555" t="s">
        <v>8</v>
      </c>
      <c r="S9" s="1556">
        <f t="shared" ref="S9:S17" si="0">F9</f>
        <v>0</v>
      </c>
      <c r="T9" s="1555" t="s">
        <v>8</v>
      </c>
      <c r="U9" s="1556">
        <f t="shared" ref="U9:U17" si="1">H9</f>
        <v>0</v>
      </c>
      <c r="V9" s="1555" t="s">
        <v>8</v>
      </c>
      <c r="W9" s="1556">
        <f t="shared" ref="W9:W17" si="2">J9</f>
        <v>0</v>
      </c>
      <c r="X9" s="1557"/>
      <c r="Y9" s="3395" t="s">
        <v>530</v>
      </c>
      <c r="Z9" s="3396"/>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395" t="s">
        <v>533</v>
      </c>
      <c r="Q10" s="3396"/>
      <c r="R10" s="1555" t="s">
        <v>8</v>
      </c>
      <c r="S10" s="1556">
        <f t="shared" si="0"/>
        <v>0</v>
      </c>
      <c r="T10" s="1555" t="s">
        <v>8</v>
      </c>
      <c r="U10" s="1556">
        <f t="shared" si="1"/>
        <v>0</v>
      </c>
      <c r="V10" s="1555" t="s">
        <v>8</v>
      </c>
      <c r="W10" s="1556">
        <f t="shared" si="2"/>
        <v>0</v>
      </c>
      <c r="X10" s="1557"/>
      <c r="Y10" s="3395" t="s">
        <v>533</v>
      </c>
      <c r="Z10" s="3396"/>
      <c r="AA10" s="1558" t="e">
        <f t="shared" ref="AA10:AA47" si="3">D10/F10</f>
        <v>#DIV/0!</v>
      </c>
      <c r="AB10" s="1558" t="e">
        <f t="shared" ref="AB10:AB47" si="4">D10/H10</f>
        <v>#DIV/0!</v>
      </c>
      <c r="AC10" s="1558" t="e">
        <f t="shared" ref="AC10:AC47" si="5">D10/J10</f>
        <v>#DIV/0!</v>
      </c>
    </row>
    <row r="11" spans="1:30" s="1216" customFormat="1" ht="20.25">
      <c r="A11" s="2870"/>
      <c r="B11" s="2877" t="s">
        <v>2756</v>
      </c>
      <c r="C11" s="2864" t="s">
        <v>1677</v>
      </c>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3" t="s">
        <v>535</v>
      </c>
      <c r="Q11" s="1147" t="str">
        <f t="shared" ref="Q11:Q17" si="6">B11</f>
        <v>用途</v>
      </c>
      <c r="R11" s="1555" t="s">
        <v>8</v>
      </c>
      <c r="S11" s="1556">
        <f t="shared" si="0"/>
        <v>100</v>
      </c>
      <c r="T11" s="1555" t="s">
        <v>8</v>
      </c>
      <c r="U11" s="1556">
        <f t="shared" si="1"/>
        <v>100</v>
      </c>
      <c r="V11" s="1555" t="s">
        <v>8</v>
      </c>
      <c r="W11" s="1556">
        <f t="shared" si="2"/>
        <v>100</v>
      </c>
      <c r="X11" s="1557"/>
      <c r="Y11" s="3347" t="s">
        <v>536</v>
      </c>
      <c r="Z11" s="1146" t="str">
        <f t="shared" ref="Z11:Z17" si="7">Q11</f>
        <v>用途</v>
      </c>
      <c r="AA11" s="1558">
        <f t="shared" si="3"/>
        <v>1</v>
      </c>
      <c r="AB11" s="1558">
        <f t="shared" si="4"/>
        <v>1</v>
      </c>
      <c r="AC11" s="1558">
        <f t="shared" si="5"/>
        <v>1</v>
      </c>
    </row>
    <row r="12" spans="1:30" s="1334" customFormat="1" ht="27">
      <c r="A12" s="2871"/>
      <c r="B12" s="2876" t="s">
        <v>2757</v>
      </c>
      <c r="C12" s="910" t="s">
        <v>3089</v>
      </c>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03"/>
      <c r="Q12" s="1147" t="str">
        <f t="shared" si="6"/>
        <v>土地使用年限（年）</v>
      </c>
      <c r="R12" s="1555" t="s">
        <v>8</v>
      </c>
      <c r="S12" s="1556">
        <f t="shared" si="0"/>
        <v>100</v>
      </c>
      <c r="T12" s="1555" t="s">
        <v>8</v>
      </c>
      <c r="U12" s="1556">
        <f t="shared" si="1"/>
        <v>100</v>
      </c>
      <c r="V12" s="1555" t="s">
        <v>8</v>
      </c>
      <c r="W12" s="1556">
        <f t="shared" si="2"/>
        <v>100</v>
      </c>
      <c r="X12" s="1557"/>
      <c r="Y12" s="3347"/>
      <c r="Z12" s="1146" t="str">
        <f t="shared" si="7"/>
        <v>土地使用年限（年）</v>
      </c>
      <c r="AA12" s="1558">
        <f t="shared" si="3"/>
        <v>1</v>
      </c>
      <c r="AB12" s="1558">
        <f t="shared" si="4"/>
        <v>1</v>
      </c>
      <c r="AC12" s="1558">
        <f t="shared" si="5"/>
        <v>1</v>
      </c>
    </row>
    <row r="13" spans="1:30" ht="20.25">
      <c r="A13" s="2872"/>
      <c r="B13" s="2876" t="s">
        <v>2758</v>
      </c>
      <c r="C13" s="534">
        <v>3.5</v>
      </c>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03"/>
      <c r="Q13" s="1147" t="str">
        <f t="shared" si="6"/>
        <v>容积率</v>
      </c>
      <c r="R13" s="1555" t="s">
        <v>8</v>
      </c>
      <c r="S13" s="1556" t="e">
        <f t="shared" si="0"/>
        <v>#N/A</v>
      </c>
      <c r="T13" s="1555" t="s">
        <v>8</v>
      </c>
      <c r="U13" s="1556" t="e">
        <f t="shared" si="1"/>
        <v>#N/A</v>
      </c>
      <c r="V13" s="1555" t="s">
        <v>8</v>
      </c>
      <c r="W13" s="1556" t="e">
        <f t="shared" si="2"/>
        <v>#N/A</v>
      </c>
      <c r="X13" s="1557"/>
      <c r="Y13" s="3347"/>
      <c r="Z13" s="1146" t="str">
        <f t="shared" si="7"/>
        <v>容积率</v>
      </c>
      <c r="AA13" s="1558" t="e">
        <f t="shared" si="3"/>
        <v>#N/A</v>
      </c>
      <c r="AB13" s="1558" t="e">
        <f t="shared" si="4"/>
        <v>#N/A</v>
      </c>
      <c r="AC13" s="1558" t="e">
        <f t="shared" si="5"/>
        <v>#N/A</v>
      </c>
    </row>
    <row r="14" spans="1:30" s="1216" customFormat="1" ht="20.25" hidden="1">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3"/>
      <c r="Q14" s="1147" t="str">
        <f t="shared" si="6"/>
        <v>配建</v>
      </c>
      <c r="R14" s="1555" t="s">
        <v>8</v>
      </c>
      <c r="S14" s="1556">
        <f t="shared" si="0"/>
        <v>100</v>
      </c>
      <c r="T14" s="1555" t="s">
        <v>8</v>
      </c>
      <c r="U14" s="1556">
        <f t="shared" si="1"/>
        <v>100</v>
      </c>
      <c r="V14" s="1555" t="s">
        <v>8</v>
      </c>
      <c r="W14" s="1556">
        <f t="shared" si="2"/>
        <v>100</v>
      </c>
      <c r="X14" s="1557"/>
      <c r="Y14" s="3347"/>
      <c r="Z14" s="1146" t="str">
        <f t="shared" si="7"/>
        <v>配建</v>
      </c>
      <c r="AA14" s="1558">
        <f>D14/F14</f>
        <v>1</v>
      </c>
      <c r="AB14" s="1558">
        <f>D14/H14</f>
        <v>1</v>
      </c>
      <c r="AC14" s="1558">
        <f>D14/J14</f>
        <v>1</v>
      </c>
    </row>
    <row r="15" spans="1:30" ht="20.25"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3"/>
      <c r="Q15" s="1147">
        <f t="shared" si="6"/>
        <v>111</v>
      </c>
      <c r="R15" s="1555" t="s">
        <v>8</v>
      </c>
      <c r="S15" s="1556">
        <f t="shared" si="0"/>
        <v>100</v>
      </c>
      <c r="T15" s="1555" t="s">
        <v>8</v>
      </c>
      <c r="U15" s="1556">
        <f t="shared" si="1"/>
        <v>100</v>
      </c>
      <c r="V15" s="1555" t="s">
        <v>8</v>
      </c>
      <c r="W15" s="1556">
        <f t="shared" si="2"/>
        <v>100</v>
      </c>
      <c r="X15" s="1557"/>
      <c r="Y15" s="3347"/>
      <c r="Z15" s="1146">
        <f t="shared" si="7"/>
        <v>111</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3"/>
      <c r="Q16" s="1147">
        <f t="shared" si="6"/>
        <v>111</v>
      </c>
      <c r="R16" s="1555" t="s">
        <v>8</v>
      </c>
      <c r="S16" s="1556">
        <f t="shared" si="0"/>
        <v>100</v>
      </c>
      <c r="T16" s="1555" t="s">
        <v>8</v>
      </c>
      <c r="U16" s="1556">
        <f t="shared" si="1"/>
        <v>100</v>
      </c>
      <c r="V16" s="1555" t="s">
        <v>8</v>
      </c>
      <c r="W16" s="1556">
        <f t="shared" si="2"/>
        <v>100</v>
      </c>
      <c r="X16" s="1557"/>
      <c r="Y16" s="3347"/>
      <c r="Z16" s="1146">
        <f t="shared" si="7"/>
        <v>111</v>
      </c>
      <c r="AA16" s="1558">
        <f>D16/F16</f>
        <v>1</v>
      </c>
      <c r="AB16" s="1558">
        <f>D16/H16</f>
        <v>1</v>
      </c>
      <c r="AC16" s="1558">
        <f>D16/J16</f>
        <v>1</v>
      </c>
    </row>
    <row r="17" spans="1:29" ht="99.75" hidden="1">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05" t="s">
        <v>540</v>
      </c>
      <c r="Q17" s="1559" t="str">
        <f t="shared" si="6"/>
        <v>居住社区成熟度</v>
      </c>
      <c r="R17" s="1560" t="s">
        <v>8</v>
      </c>
      <c r="S17" s="1561">
        <f t="shared" si="0"/>
        <v>100</v>
      </c>
      <c r="T17" s="1560" t="s">
        <v>8</v>
      </c>
      <c r="U17" s="1561">
        <f t="shared" si="1"/>
        <v>100</v>
      </c>
      <c r="V17" s="1560" t="s">
        <v>8</v>
      </c>
      <c r="W17" s="1561">
        <f t="shared" si="2"/>
        <v>100</v>
      </c>
      <c r="X17" s="1554"/>
      <c r="Y17" s="3405" t="s">
        <v>540</v>
      </c>
      <c r="Z17" s="1562" t="str">
        <f t="shared" si="7"/>
        <v>居住社区成熟度</v>
      </c>
      <c r="AA17" s="1563">
        <f t="shared" si="3"/>
        <v>1</v>
      </c>
      <c r="AB17" s="1563">
        <f t="shared" si="4"/>
        <v>1</v>
      </c>
      <c r="AC17" s="1563">
        <f t="shared" si="5"/>
        <v>1</v>
      </c>
    </row>
    <row r="18" spans="1:29" ht="20.25" hidden="1">
      <c r="A18" s="532"/>
      <c r="B18" s="553"/>
      <c r="C18" s="554"/>
      <c r="D18" s="557"/>
      <c r="E18" s="558"/>
      <c r="F18" s="555"/>
      <c r="G18" s="556"/>
      <c r="H18" s="559"/>
      <c r="I18" s="558"/>
      <c r="J18" s="555"/>
      <c r="K18" s="531"/>
      <c r="L18" s="2128"/>
      <c r="M18" s="2118"/>
      <c r="N18" s="2118"/>
      <c r="O18" s="2127"/>
      <c r="P18" s="3406"/>
      <c r="Q18" s="1559"/>
      <c r="R18" s="1560"/>
      <c r="S18" s="1561"/>
      <c r="T18" s="1560"/>
      <c r="U18" s="1561"/>
      <c r="V18" s="1560"/>
      <c r="W18" s="1561"/>
      <c r="X18" s="1554"/>
      <c r="Y18" s="3406"/>
      <c r="Z18" s="1562"/>
      <c r="AA18" s="1563">
        <v>1</v>
      </c>
      <c r="AB18" s="1563">
        <v>1</v>
      </c>
      <c r="AC18" s="1563">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06"/>
      <c r="Q19" s="1559" t="str">
        <f>B19</f>
        <v>商业繁华度</v>
      </c>
      <c r="R19" s="1560" t="s">
        <v>8</v>
      </c>
      <c r="S19" s="1561">
        <f>F19</f>
        <v>100</v>
      </c>
      <c r="T19" s="1560" t="s">
        <v>8</v>
      </c>
      <c r="U19" s="1561">
        <f>H19</f>
        <v>100</v>
      </c>
      <c r="V19" s="1560" t="s">
        <v>8</v>
      </c>
      <c r="W19" s="1561">
        <f>J19</f>
        <v>100</v>
      </c>
      <c r="X19" s="1554"/>
      <c r="Y19" s="3406"/>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8"/>
      <c r="M20" s="2118"/>
      <c r="N20" s="2118"/>
      <c r="O20" s="2127"/>
      <c r="P20" s="3406"/>
      <c r="Q20" s="1559"/>
      <c r="R20" s="1560"/>
      <c r="S20" s="1561"/>
      <c r="T20" s="1560"/>
      <c r="U20" s="1561"/>
      <c r="V20" s="1560"/>
      <c r="W20" s="1561"/>
      <c r="X20" s="1554"/>
      <c r="Y20" s="3406"/>
      <c r="Z20" s="1562"/>
      <c r="AA20" s="1563">
        <v>1</v>
      </c>
      <c r="AB20" s="1563">
        <v>1</v>
      </c>
      <c r="AC20" s="1563">
        <v>1</v>
      </c>
    </row>
    <row r="21" spans="1:29" ht="128.25">
      <c r="A21" s="532"/>
      <c r="B21" s="560" t="s">
        <v>542</v>
      </c>
      <c r="C21" s="561" t="str">
        <f>估价对象房地状况!C17</f>
        <v>估价对象周边有大成时代中心、万达广场写字楼、泰禾长安中心、紫御国际等，办公楼项目较多，入驻率高，办公集聚程度较好</v>
      </c>
      <c r="D21" s="571">
        <v>100</v>
      </c>
      <c r="E21" s="572"/>
      <c r="F21" s="565">
        <f>SUMIF(94:94,E22,95:95)-SUMIF(94:94,C22,95:95)+100</f>
        <v>0</v>
      </c>
      <c r="G21" s="570"/>
      <c r="H21" s="559">
        <f>SUMIF(94:94,G22,95:95)-SUMIF(94:94,C22,95:95)+100</f>
        <v>0</v>
      </c>
      <c r="I21" s="572"/>
      <c r="J21" s="559">
        <f>SUMIF(94:94,I22,95:95)-SUMIF(94:94,C22,95:95)+100</f>
        <v>0</v>
      </c>
      <c r="K21" s="535"/>
      <c r="L21" s="2128"/>
      <c r="M21" s="2118"/>
      <c r="N21" s="2118"/>
      <c r="O21" s="2127"/>
      <c r="P21" s="3406"/>
      <c r="Q21" s="1559" t="str">
        <f>B21</f>
        <v>办公集聚程度</v>
      </c>
      <c r="R21" s="1560" t="s">
        <v>8</v>
      </c>
      <c r="S21" s="1561">
        <f>F21</f>
        <v>0</v>
      </c>
      <c r="T21" s="1560" t="s">
        <v>8</v>
      </c>
      <c r="U21" s="1561">
        <f>H21</f>
        <v>0</v>
      </c>
      <c r="V21" s="1560" t="s">
        <v>8</v>
      </c>
      <c r="W21" s="1561">
        <f>J21</f>
        <v>0</v>
      </c>
      <c r="X21" s="1554"/>
      <c r="Y21" s="3406"/>
      <c r="Z21" s="1562" t="str">
        <f>Q21</f>
        <v>办公集聚程度</v>
      </c>
      <c r="AA21" s="1563" t="e">
        <f t="shared" si="3"/>
        <v>#DIV/0!</v>
      </c>
      <c r="AB21" s="1563" t="e">
        <f t="shared" si="4"/>
        <v>#DIV/0!</v>
      </c>
      <c r="AC21" s="1563" t="e">
        <f t="shared" si="5"/>
        <v>#DIV/0!</v>
      </c>
    </row>
    <row r="22" spans="1:29" ht="20.25">
      <c r="A22" s="532"/>
      <c r="B22" s="566"/>
      <c r="C22" s="554" t="s">
        <v>3008</v>
      </c>
      <c r="D22" s="557"/>
      <c r="E22" s="558"/>
      <c r="F22" s="555"/>
      <c r="G22" s="556"/>
      <c r="H22" s="555"/>
      <c r="I22" s="558"/>
      <c r="J22" s="555"/>
      <c r="K22" s="531"/>
      <c r="L22" s="2128"/>
      <c r="M22" s="2118"/>
      <c r="N22" s="2118"/>
      <c r="O22" s="2127"/>
      <c r="P22" s="3406"/>
      <c r="Q22" s="1559"/>
      <c r="R22" s="1560"/>
      <c r="S22" s="1561"/>
      <c r="T22" s="1560"/>
      <c r="U22" s="1561"/>
      <c r="V22" s="1560"/>
      <c r="W22" s="1561"/>
      <c r="X22" s="1554"/>
      <c r="Y22" s="3406"/>
      <c r="Z22" s="1562"/>
      <c r="AA22" s="1563">
        <v>1</v>
      </c>
      <c r="AB22" s="1563">
        <v>1</v>
      </c>
      <c r="AC22" s="1563">
        <v>1</v>
      </c>
    </row>
    <row r="23" spans="1:29" ht="142.5">
      <c r="A23" s="532"/>
      <c r="B23" s="560" t="s">
        <v>543</v>
      </c>
      <c r="C23" s="573" t="str">
        <f>估价对象房地状况!C18</f>
        <v>估价对象周边有运通113路、运通114路、436路、481路、531路、611路、959路等多条公共交通线路，距地铁1号线（八宝山站）约2公里，综合评价交通便捷度一般</v>
      </c>
      <c r="D23" s="563">
        <v>100</v>
      </c>
      <c r="E23" s="564"/>
      <c r="F23" s="565">
        <f>SUMIF(96:96,E24,97:97)-SUMIF(96:96,C24,97:97)+100</f>
        <v>0</v>
      </c>
      <c r="G23" s="562"/>
      <c r="H23" s="559">
        <f>SUMIF(96:96,G24,97:97)-SUMIF(96:96,C24,97:97)+100</f>
        <v>0</v>
      </c>
      <c r="I23" s="564"/>
      <c r="J23" s="559">
        <f>SUMIF(96:96,I24,97:97)-SUMIF(96:96,C24,97:97)+100</f>
        <v>0</v>
      </c>
      <c r="K23" s="535"/>
      <c r="L23" s="2128"/>
      <c r="M23" s="2118"/>
      <c r="N23" s="2118"/>
      <c r="O23" s="2127"/>
      <c r="P23" s="3406"/>
      <c r="Q23" s="1559" t="str">
        <f>B23</f>
        <v>交通便捷度</v>
      </c>
      <c r="R23" s="1560" t="s">
        <v>8</v>
      </c>
      <c r="S23" s="1561">
        <f>F23</f>
        <v>0</v>
      </c>
      <c r="T23" s="1560" t="s">
        <v>8</v>
      </c>
      <c r="U23" s="1561">
        <f>H23</f>
        <v>0</v>
      </c>
      <c r="V23" s="1560" t="s">
        <v>8</v>
      </c>
      <c r="W23" s="1561">
        <f>J23</f>
        <v>0</v>
      </c>
      <c r="X23" s="1554"/>
      <c r="Y23" s="3406"/>
      <c r="Z23" s="1562" t="str">
        <f>Q23</f>
        <v>交通便捷度</v>
      </c>
      <c r="AA23" s="1563" t="e">
        <f t="shared" si="3"/>
        <v>#DIV/0!</v>
      </c>
      <c r="AB23" s="1563" t="e">
        <f t="shared" si="4"/>
        <v>#DIV/0!</v>
      </c>
      <c r="AC23" s="1563" t="e">
        <f t="shared" si="5"/>
        <v>#DIV/0!</v>
      </c>
    </row>
    <row r="24" spans="1:29" ht="20.25">
      <c r="A24" s="532"/>
      <c r="B24" s="578"/>
      <c r="C24" s="554" t="s">
        <v>3009</v>
      </c>
      <c r="D24" s="557"/>
      <c r="E24" s="558"/>
      <c r="F24" s="555"/>
      <c r="G24" s="556"/>
      <c r="H24" s="555"/>
      <c r="I24" s="558"/>
      <c r="J24" s="555"/>
      <c r="K24" s="531"/>
      <c r="L24" s="2128"/>
      <c r="M24" s="2118"/>
      <c r="N24" s="2118"/>
      <c r="O24" s="2127"/>
      <c r="P24" s="3406"/>
      <c r="Q24" s="1559"/>
      <c r="R24" s="1560"/>
      <c r="S24" s="1561"/>
      <c r="T24" s="1560"/>
      <c r="U24" s="1561"/>
      <c r="V24" s="1560"/>
      <c r="W24" s="1561"/>
      <c r="X24" s="1554"/>
      <c r="Y24" s="3406"/>
      <c r="Z24" s="1562"/>
      <c r="AA24" s="1563">
        <v>1</v>
      </c>
      <c r="AB24" s="1563">
        <v>1</v>
      </c>
      <c r="AC24" s="1563">
        <v>1</v>
      </c>
    </row>
    <row r="25" spans="1:29" ht="27">
      <c r="A25" s="515"/>
      <c r="B25" s="259" t="s">
        <v>544</v>
      </c>
      <c r="C25" s="573">
        <f>估价对象房地状况!C19</f>
        <v>0</v>
      </c>
      <c r="D25" s="563">
        <v>100</v>
      </c>
      <c r="E25" s="564"/>
      <c r="F25" s="565">
        <f>SUMIF(98:98,E26,99:99)-SUMIF(98:98,C26,99:99)+100</f>
        <v>0</v>
      </c>
      <c r="G25" s="562"/>
      <c r="H25" s="559">
        <f>SUMIF(98:98,G26,99:99)-SUMIF(98:98,C26,99:99)+100</f>
        <v>0</v>
      </c>
      <c r="I25" s="564"/>
      <c r="J25" s="559">
        <f>SUMIF(98:98,I26,99:99)-SUMIF(98:98,C26,99:99)+100</f>
        <v>0</v>
      </c>
      <c r="K25" s="535"/>
      <c r="L25" s="2128"/>
      <c r="M25" s="2118"/>
      <c r="N25" s="2118"/>
      <c r="O25" s="2127"/>
      <c r="P25" s="3406"/>
      <c r="Q25" s="1559" t="str">
        <f t="shared" ref="Q25:Q39" si="8">B25</f>
        <v>区域土地利用方向</v>
      </c>
      <c r="R25" s="1560" t="s">
        <v>8</v>
      </c>
      <c r="S25" s="1561">
        <f>F25</f>
        <v>0</v>
      </c>
      <c r="T25" s="1560" t="s">
        <v>8</v>
      </c>
      <c r="U25" s="1561">
        <f>H25</f>
        <v>0</v>
      </c>
      <c r="V25" s="1560" t="s">
        <v>8</v>
      </c>
      <c r="W25" s="1561">
        <f>J25</f>
        <v>0</v>
      </c>
      <c r="X25" s="1554"/>
      <c r="Y25" s="3406"/>
      <c r="Z25" s="1562" t="str">
        <f>Q25</f>
        <v>区域土地利用方向</v>
      </c>
      <c r="AA25" s="1563" t="e">
        <f t="shared" si="3"/>
        <v>#DIV/0!</v>
      </c>
      <c r="AB25" s="1563" t="e">
        <f t="shared" si="4"/>
        <v>#DIV/0!</v>
      </c>
      <c r="AC25" s="1563" t="e">
        <f t="shared" si="5"/>
        <v>#DIV/0!</v>
      </c>
    </row>
    <row r="26" spans="1:29" ht="20.25">
      <c r="A26" s="515"/>
      <c r="B26" s="1007"/>
      <c r="C26" s="554" t="s">
        <v>3008</v>
      </c>
      <c r="D26" s="557"/>
      <c r="E26" s="558"/>
      <c r="F26" s="555"/>
      <c r="G26" s="556"/>
      <c r="H26" s="555"/>
      <c r="I26" s="558"/>
      <c r="J26" s="555"/>
      <c r="K26" s="531"/>
      <c r="L26" s="2128"/>
      <c r="M26" s="2118"/>
      <c r="N26" s="2118"/>
      <c r="O26" s="2127"/>
      <c r="P26" s="3406"/>
      <c r="Q26" s="1559"/>
      <c r="R26" s="1560"/>
      <c r="S26" s="1561"/>
      <c r="T26" s="1560"/>
      <c r="U26" s="1561"/>
      <c r="V26" s="1560"/>
      <c r="W26" s="1561"/>
      <c r="X26" s="1554"/>
      <c r="Y26" s="3406"/>
      <c r="Z26" s="1562"/>
      <c r="AA26" s="1563"/>
      <c r="AB26" s="1563"/>
      <c r="AC26" s="1563"/>
    </row>
    <row r="27" spans="1:29" ht="128.25">
      <c r="A27" s="515"/>
      <c r="B27" s="578" t="s">
        <v>545</v>
      </c>
      <c r="C27" s="561" t="str">
        <f>估价对象房地状况!C20</f>
        <v>区域自然环境：火车头广场、北京园博园；人文环境：北京市第一中级人民法院、北京市第四中级人民法院；综合评价环境状况较好</v>
      </c>
      <c r="D27" s="563">
        <v>100</v>
      </c>
      <c r="E27" s="564"/>
      <c r="F27" s="559">
        <f>SUMIF(100:100,E28,101:101)-SUMIF(100:100,C28,101:101)+100</f>
        <v>0</v>
      </c>
      <c r="G27" s="562"/>
      <c r="H27" s="559">
        <f>SUMIF(100:100,G28,101:101)-SUMIF(100:100,C28,101:101)+100</f>
        <v>0</v>
      </c>
      <c r="I27" s="564"/>
      <c r="J27" s="559">
        <f>SUMIF(100:100,I28,101:101)-SUMIF(100:100,C28,101:101)+100</f>
        <v>0</v>
      </c>
      <c r="K27" s="535"/>
      <c r="L27" s="2128"/>
      <c r="M27" s="2118"/>
      <c r="N27" s="2118"/>
      <c r="O27" s="2127"/>
      <c r="P27" s="3406"/>
      <c r="Q27" s="1559" t="str">
        <f t="shared" si="8"/>
        <v>自然及人文环境状况</v>
      </c>
      <c r="R27" s="1560" t="s">
        <v>8</v>
      </c>
      <c r="S27" s="1561">
        <f>F27</f>
        <v>0</v>
      </c>
      <c r="T27" s="1560" t="s">
        <v>8</v>
      </c>
      <c r="U27" s="1561">
        <f>H27</f>
        <v>0</v>
      </c>
      <c r="V27" s="1560" t="s">
        <v>8</v>
      </c>
      <c r="W27" s="1561">
        <f>J27</f>
        <v>0</v>
      </c>
      <c r="X27" s="1554"/>
      <c r="Y27" s="3406"/>
      <c r="Z27" s="1562" t="str">
        <f>Q27</f>
        <v>自然及人文环境状况</v>
      </c>
      <c r="AA27" s="1563" t="e">
        <f t="shared" si="3"/>
        <v>#DIV/0!</v>
      </c>
      <c r="AB27" s="1563" t="e">
        <f t="shared" si="4"/>
        <v>#DIV/0!</v>
      </c>
      <c r="AC27" s="1563" t="e">
        <f t="shared" si="5"/>
        <v>#DIV/0!</v>
      </c>
    </row>
    <row r="28" spans="1:29" ht="20.25">
      <c r="A28" s="515"/>
      <c r="B28" s="566"/>
      <c r="C28" s="554" t="s">
        <v>3008</v>
      </c>
      <c r="D28" s="557"/>
      <c r="E28" s="576"/>
      <c r="F28" s="555"/>
      <c r="G28" s="554"/>
      <c r="H28" s="555"/>
      <c r="I28" s="576"/>
      <c r="J28" s="555"/>
      <c r="K28" s="531"/>
      <c r="L28" s="2128"/>
      <c r="M28" s="2118"/>
      <c r="N28" s="2118"/>
      <c r="O28" s="2127"/>
      <c r="P28" s="3406"/>
      <c r="Q28" s="1559"/>
      <c r="R28" s="1560"/>
      <c r="S28" s="1561"/>
      <c r="T28" s="1560"/>
      <c r="U28" s="1561"/>
      <c r="V28" s="1560"/>
      <c r="W28" s="1561"/>
      <c r="X28" s="1554"/>
      <c r="Y28" s="3406"/>
      <c r="Z28" s="1562"/>
      <c r="AA28" s="1563">
        <v>1</v>
      </c>
      <c r="AB28" s="1563">
        <v>1</v>
      </c>
      <c r="AC28" s="1563">
        <v>1</v>
      </c>
    </row>
    <row r="29" spans="1:29" s="1216" customFormat="1" ht="42.75">
      <c r="A29" s="577"/>
      <c r="B29" s="2556" t="s">
        <v>2548</v>
      </c>
      <c r="C29" s="573" t="str">
        <f>估价对象房地状况!C21</f>
        <v>估价对象所在区域公共配套设施齐备情况较齐备</v>
      </c>
      <c r="D29" s="563">
        <v>100</v>
      </c>
      <c r="E29" s="564"/>
      <c r="F29" s="559">
        <f>SUMIF(102:102,E30,103:103)-SUMIF(102:102,C30,103:103)+100</f>
        <v>0</v>
      </c>
      <c r="G29" s="562"/>
      <c r="H29" s="559">
        <f>SUMIF(102:102,G30,103:103)-SUMIF(102:102,C30,103:103)+100</f>
        <v>0</v>
      </c>
      <c r="I29" s="564"/>
      <c r="J29" s="559">
        <f>SUMIF(102:102,I30,103:103)-SUMIF(102:102,C30,103:103)+100</f>
        <v>0</v>
      </c>
      <c r="K29" s="535"/>
      <c r="L29" s="2121"/>
      <c r="M29" s="2118"/>
      <c r="N29" s="2118"/>
      <c r="O29" s="2123"/>
      <c r="P29" s="3406"/>
      <c r="Q29" s="1147" t="str">
        <f t="shared" si="8"/>
        <v>公共配套设施</v>
      </c>
      <c r="R29" s="1555" t="s">
        <v>8</v>
      </c>
      <c r="S29" s="1556">
        <f>F29</f>
        <v>0</v>
      </c>
      <c r="T29" s="1555" t="s">
        <v>8</v>
      </c>
      <c r="U29" s="1556">
        <f>H29</f>
        <v>0</v>
      </c>
      <c r="V29" s="1555" t="s">
        <v>8</v>
      </c>
      <c r="W29" s="1556">
        <f>J29</f>
        <v>0</v>
      </c>
      <c r="X29" s="1557"/>
      <c r="Y29" s="3406"/>
      <c r="Z29" s="1146" t="str">
        <f>Q29</f>
        <v>公共配套设施</v>
      </c>
      <c r="AA29" s="1563" t="e">
        <f>D29/F29</f>
        <v>#DIV/0!</v>
      </c>
      <c r="AB29" s="1563" t="e">
        <f>D29/H29</f>
        <v>#DIV/0!</v>
      </c>
      <c r="AC29" s="1563" t="e">
        <f>D29/J29</f>
        <v>#DIV/0!</v>
      </c>
    </row>
    <row r="30" spans="1:29" s="1216" customFormat="1" ht="20.25">
      <c r="A30" s="577"/>
      <c r="B30" s="566"/>
      <c r="C30" s="579" t="s">
        <v>3008</v>
      </c>
      <c r="D30" s="557"/>
      <c r="E30" s="576"/>
      <c r="F30" s="555"/>
      <c r="G30" s="554"/>
      <c r="H30" s="555"/>
      <c r="I30" s="576"/>
      <c r="J30" s="555"/>
      <c r="K30" s="531"/>
      <c r="L30" s="2121"/>
      <c r="M30" s="2118"/>
      <c r="N30" s="2118"/>
      <c r="O30" s="2123"/>
      <c r="P30" s="3406"/>
      <c r="Q30" s="1147"/>
      <c r="R30" s="1555"/>
      <c r="S30" s="1556"/>
      <c r="T30" s="1555"/>
      <c r="U30" s="1556"/>
      <c r="V30" s="1555"/>
      <c r="W30" s="1556"/>
      <c r="X30" s="1557"/>
      <c r="Y30" s="3406"/>
      <c r="Z30" s="1146"/>
      <c r="AA30" s="1563">
        <v>1</v>
      </c>
      <c r="AB30" s="1563">
        <v>1</v>
      </c>
      <c r="AC30" s="1563">
        <v>1</v>
      </c>
    </row>
    <row r="31" spans="1:29" s="1216" customFormat="1" ht="20.25">
      <c r="A31" s="577"/>
      <c r="B31" s="2556" t="s">
        <v>2549</v>
      </c>
      <c r="C31" s="573" t="str">
        <f>估价对象房地状况!C22</f>
        <v>七通</v>
      </c>
      <c r="D31" s="563">
        <v>100</v>
      </c>
      <c r="E31" s="564"/>
      <c r="F31" s="559">
        <f>SUMIF(104:104,E32,105:105)-SUMIF(104:104,C32,105:105)+100</f>
        <v>0</v>
      </c>
      <c r="G31" s="562"/>
      <c r="H31" s="559">
        <f>SUMIF(104:104,G32,105:105)-SUMIF(104:104,C32,105:105)+100</f>
        <v>0</v>
      </c>
      <c r="I31" s="564"/>
      <c r="J31" s="559">
        <f>SUMIF(104:104,I32,105:105)-SUMIF(104:104,C32,105:105)+100</f>
        <v>0</v>
      </c>
      <c r="K31" s="535"/>
      <c r="L31" s="2121"/>
      <c r="M31" s="2118"/>
      <c r="N31" s="2118"/>
      <c r="O31" s="2123"/>
      <c r="P31" s="3406"/>
      <c r="Q31" s="2543" t="str">
        <f t="shared" ref="Q31" si="9">B31</f>
        <v>基础设施水平</v>
      </c>
      <c r="R31" s="1555" t="s">
        <v>8</v>
      </c>
      <c r="S31" s="1556">
        <f>F31</f>
        <v>0</v>
      </c>
      <c r="T31" s="1555" t="s">
        <v>8</v>
      </c>
      <c r="U31" s="1556">
        <f>H31</f>
        <v>0</v>
      </c>
      <c r="V31" s="1555" t="s">
        <v>8</v>
      </c>
      <c r="W31" s="1556">
        <f>J31</f>
        <v>0</v>
      </c>
      <c r="X31" s="1557"/>
      <c r="Y31" s="3406"/>
      <c r="Z31" s="2540" t="str">
        <f>Q31</f>
        <v>基础设施水平</v>
      </c>
      <c r="AA31" s="1563" t="e">
        <f>D31/F31</f>
        <v>#DIV/0!</v>
      </c>
      <c r="AB31" s="1563" t="e">
        <f>D31/H31</f>
        <v>#DIV/0!</v>
      </c>
      <c r="AC31" s="1563" t="e">
        <f>D31/J31</f>
        <v>#DIV/0!</v>
      </c>
    </row>
    <row r="32" spans="1:29" s="1216" customFormat="1" ht="20.25">
      <c r="A32" s="577"/>
      <c r="B32" s="566"/>
      <c r="C32" s="579" t="s">
        <v>3019</v>
      </c>
      <c r="D32" s="557"/>
      <c r="E32" s="2557"/>
      <c r="F32" s="555"/>
      <c r="G32" s="579"/>
      <c r="H32" s="555"/>
      <c r="I32" s="579"/>
      <c r="J32" s="555"/>
      <c r="K32" s="531"/>
      <c r="L32" s="2121"/>
      <c r="M32" s="2118"/>
      <c r="N32" s="2118"/>
      <c r="O32" s="2123"/>
      <c r="P32" s="3406"/>
      <c r="Q32" s="2543"/>
      <c r="R32" s="1555"/>
      <c r="S32" s="1556"/>
      <c r="T32" s="1555"/>
      <c r="U32" s="1556"/>
      <c r="V32" s="1555"/>
      <c r="W32" s="1556"/>
      <c r="X32" s="1557"/>
      <c r="Y32" s="3406"/>
      <c r="Z32" s="2540"/>
      <c r="AA32" s="1563">
        <v>1</v>
      </c>
      <c r="AB32" s="1563">
        <v>1</v>
      </c>
      <c r="AC32" s="1563">
        <v>1</v>
      </c>
    </row>
    <row r="33" spans="1:29" ht="20.25" hidden="1">
      <c r="A33" s="532"/>
      <c r="B33" s="566" t="s">
        <v>547</v>
      </c>
      <c r="C33" s="580" t="s">
        <v>3090</v>
      </c>
      <c r="D33" s="575">
        <v>100</v>
      </c>
      <c r="E33" s="583" t="s">
        <v>3090</v>
      </c>
      <c r="F33" s="540">
        <f>SUMIF(106:106,E33,107:107)-SUMIF(106:106,C33,107:107)+100</f>
        <v>100</v>
      </c>
      <c r="G33" s="580" t="s">
        <v>3090</v>
      </c>
      <c r="H33" s="540">
        <f>SUMIF(106:106,G33,107:107)-SUMIF(106:106,C33,107:107)+100</f>
        <v>100</v>
      </c>
      <c r="I33" s="580" t="s">
        <v>3090</v>
      </c>
      <c r="J33" s="540">
        <f>SUMIF(106:106,I33,107:107)-SUMIF(106:106,C33,107:107)+100</f>
        <v>100</v>
      </c>
      <c r="K33" s="535"/>
      <c r="L33" s="2128"/>
      <c r="M33" s="2118"/>
      <c r="N33" s="2118"/>
      <c r="O33" s="2127"/>
      <c r="P33" s="340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6"/>
      <c r="Z33" s="1562" t="str">
        <f t="shared" ref="Z33:Z47" si="13">Q33</f>
        <v>临街状况</v>
      </c>
      <c r="AA33" s="1563">
        <f t="shared" si="3"/>
        <v>1</v>
      </c>
      <c r="AB33" s="1563">
        <f t="shared" si="4"/>
        <v>1</v>
      </c>
      <c r="AC33" s="1563">
        <f t="shared" si="5"/>
        <v>1</v>
      </c>
    </row>
    <row r="34" spans="1:29" ht="28.5">
      <c r="A34" s="532"/>
      <c r="B34" s="578" t="s">
        <v>548</v>
      </c>
      <c r="C34" s="3208" t="str">
        <f>估价对象房地状况!C10</f>
        <v>城市支路——张仪村东五路</v>
      </c>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6"/>
      <c r="Q34" s="1559" t="str">
        <f t="shared" si="8"/>
        <v>毗邻道路的类型与等级</v>
      </c>
      <c r="R34" s="1560" t="s">
        <v>8</v>
      </c>
      <c r="S34" s="1561">
        <f t="shared" si="10"/>
        <v>100</v>
      </c>
      <c r="T34" s="1560" t="s">
        <v>8</v>
      </c>
      <c r="U34" s="1561">
        <f t="shared" si="11"/>
        <v>100</v>
      </c>
      <c r="V34" s="1560" t="s">
        <v>8</v>
      </c>
      <c r="W34" s="1561">
        <f t="shared" si="12"/>
        <v>100</v>
      </c>
      <c r="X34" s="1554"/>
      <c r="Y34" s="3406"/>
      <c r="Z34" s="1562" t="str">
        <f t="shared" si="13"/>
        <v>毗邻道路的类型与等级</v>
      </c>
      <c r="AA34" s="1563">
        <f t="shared" si="3"/>
        <v>1</v>
      </c>
      <c r="AB34" s="1563">
        <f t="shared" si="4"/>
        <v>1</v>
      </c>
      <c r="AC34" s="1563">
        <f t="shared" si="5"/>
        <v>1</v>
      </c>
    </row>
    <row r="35" spans="1:29" ht="21" thickBot="1">
      <c r="A35" s="532"/>
      <c r="B35" s="566"/>
      <c r="C35" s="554"/>
      <c r="D35" s="557"/>
      <c r="E35" s="576"/>
      <c r="F35" s="555"/>
      <c r="G35" s="554"/>
      <c r="H35" s="555"/>
      <c r="I35" s="576"/>
      <c r="J35" s="555"/>
      <c r="K35" s="581"/>
      <c r="L35" s="2128"/>
      <c r="M35" s="2118"/>
      <c r="N35" s="2118"/>
      <c r="O35" s="2127"/>
      <c r="P35" s="3406"/>
      <c r="Q35" s="1559"/>
      <c r="R35" s="1560"/>
      <c r="S35" s="1561"/>
      <c r="T35" s="1560"/>
      <c r="U35" s="1561"/>
      <c r="V35" s="1560"/>
      <c r="W35" s="1561"/>
      <c r="X35" s="1554"/>
      <c r="Y35" s="3406"/>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6"/>
      <c r="Q36" s="1559" t="str">
        <f t="shared" si="8"/>
        <v>土地级别</v>
      </c>
      <c r="R36" s="1560" t="s">
        <v>8</v>
      </c>
      <c r="S36" s="1561">
        <f t="shared" si="10"/>
        <v>100</v>
      </c>
      <c r="T36" s="1560" t="s">
        <v>8</v>
      </c>
      <c r="U36" s="1561">
        <f t="shared" si="11"/>
        <v>100</v>
      </c>
      <c r="V36" s="1560" t="s">
        <v>8</v>
      </c>
      <c r="W36" s="1561">
        <f t="shared" si="12"/>
        <v>100</v>
      </c>
      <c r="X36" s="1554"/>
      <c r="Y36" s="3406"/>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6"/>
      <c r="Q37" s="1559">
        <f t="shared" si="8"/>
        <v>111</v>
      </c>
      <c r="R37" s="1560" t="s">
        <v>8</v>
      </c>
      <c r="S37" s="1561">
        <f t="shared" si="10"/>
        <v>100</v>
      </c>
      <c r="T37" s="1560" t="s">
        <v>8</v>
      </c>
      <c r="U37" s="1561">
        <f t="shared" si="11"/>
        <v>100</v>
      </c>
      <c r="V37" s="1560" t="s">
        <v>8</v>
      </c>
      <c r="W37" s="1561">
        <f t="shared" si="12"/>
        <v>100</v>
      </c>
      <c r="X37" s="1554"/>
      <c r="Y37" s="3406"/>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7" t="s">
        <v>550</v>
      </c>
      <c r="Q38" s="1559">
        <f t="shared" si="8"/>
        <v>111</v>
      </c>
      <c r="R38" s="1560" t="s">
        <v>8</v>
      </c>
      <c r="S38" s="1561">
        <f t="shared" si="10"/>
        <v>100</v>
      </c>
      <c r="T38" s="1560" t="s">
        <v>8</v>
      </c>
      <c r="U38" s="1561">
        <f t="shared" si="11"/>
        <v>100</v>
      </c>
      <c r="V38" s="1560" t="s">
        <v>8</v>
      </c>
      <c r="W38" s="1561">
        <f t="shared" si="12"/>
        <v>100</v>
      </c>
      <c r="X38" s="1554"/>
      <c r="Y38" s="3408"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8"/>
      <c r="Q39" s="1559">
        <f t="shared" si="8"/>
        <v>111</v>
      </c>
      <c r="R39" s="1564" t="s">
        <v>8</v>
      </c>
      <c r="S39" s="1565">
        <f t="shared" si="10"/>
        <v>100</v>
      </c>
      <c r="T39" s="1564" t="s">
        <v>8</v>
      </c>
      <c r="U39" s="1565">
        <f t="shared" si="11"/>
        <v>100</v>
      </c>
      <c r="V39" s="1564" t="s">
        <v>8</v>
      </c>
      <c r="W39" s="1565">
        <f t="shared" si="12"/>
        <v>100</v>
      </c>
      <c r="X39" s="1566"/>
      <c r="Y39" s="3408"/>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08"/>
      <c r="Q40" s="1559" t="str">
        <f>B40</f>
        <v>宗地面积</v>
      </c>
      <c r="R40" s="1560" t="s">
        <v>8</v>
      </c>
      <c r="S40" s="1561" t="e">
        <f t="shared" si="10"/>
        <v>#N/A</v>
      </c>
      <c r="T40" s="1560" t="s">
        <v>8</v>
      </c>
      <c r="U40" s="1561" t="e">
        <f t="shared" si="11"/>
        <v>#N/A</v>
      </c>
      <c r="V40" s="1560" t="s">
        <v>8</v>
      </c>
      <c r="W40" s="1561" t="e">
        <f t="shared" si="12"/>
        <v>#N/A</v>
      </c>
      <c r="X40" s="1554"/>
      <c r="Y40" s="3408"/>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08"/>
      <c r="Q41" s="1559" t="str">
        <f t="shared" ref="Q41:Q47" si="14">B41</f>
        <v>宗地形状</v>
      </c>
      <c r="R41" s="1560" t="s">
        <v>8</v>
      </c>
      <c r="S41" s="1561">
        <f t="shared" si="10"/>
        <v>100</v>
      </c>
      <c r="T41" s="1560" t="s">
        <v>8</v>
      </c>
      <c r="U41" s="1561">
        <f t="shared" si="11"/>
        <v>100</v>
      </c>
      <c r="V41" s="1560" t="s">
        <v>8</v>
      </c>
      <c r="W41" s="1561">
        <f t="shared" si="12"/>
        <v>100</v>
      </c>
      <c r="X41" s="1554"/>
      <c r="Y41" s="3408"/>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08"/>
      <c r="Q42" s="1559" t="str">
        <f t="shared" si="14"/>
        <v>临街宽度及深度</v>
      </c>
      <c r="R42" s="1560" t="s">
        <v>8</v>
      </c>
      <c r="S42" s="1561">
        <f t="shared" si="10"/>
        <v>100</v>
      </c>
      <c r="T42" s="1560" t="s">
        <v>8</v>
      </c>
      <c r="U42" s="1561">
        <f t="shared" si="11"/>
        <v>100</v>
      </c>
      <c r="V42" s="1560" t="s">
        <v>8</v>
      </c>
      <c r="W42" s="1561">
        <f t="shared" si="12"/>
        <v>100</v>
      </c>
      <c r="X42" s="1554"/>
      <c r="Y42" s="3408"/>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08"/>
      <c r="Q43" s="1559" t="str">
        <f t="shared" si="14"/>
        <v>宗地开发程度</v>
      </c>
      <c r="R43" s="1555" t="s">
        <v>8</v>
      </c>
      <c r="S43" s="1556">
        <f t="shared" si="10"/>
        <v>100</v>
      </c>
      <c r="T43" s="1555" t="s">
        <v>8</v>
      </c>
      <c r="U43" s="1556">
        <f t="shared" si="11"/>
        <v>100</v>
      </c>
      <c r="V43" s="1555" t="s">
        <v>8</v>
      </c>
      <c r="W43" s="1556">
        <f t="shared" si="12"/>
        <v>100</v>
      </c>
      <c r="X43" s="1557"/>
      <c r="Y43" s="3408"/>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08" t="s">
        <v>550</v>
      </c>
      <c r="Q44" s="1559" t="str">
        <f t="shared" si="14"/>
        <v>工程地质条件</v>
      </c>
      <c r="R44" s="1560" t="s">
        <v>8</v>
      </c>
      <c r="S44" s="1561">
        <f t="shared" si="10"/>
        <v>100</v>
      </c>
      <c r="T44" s="1560" t="s">
        <v>8</v>
      </c>
      <c r="U44" s="1561">
        <f t="shared" si="11"/>
        <v>100</v>
      </c>
      <c r="V44" s="1560" t="s">
        <v>8</v>
      </c>
      <c r="W44" s="1561">
        <f t="shared" si="12"/>
        <v>100</v>
      </c>
      <c r="X44" s="1554"/>
      <c r="Y44" s="3408"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8"/>
      <c r="Q45" s="1559">
        <f t="shared" si="14"/>
        <v>111</v>
      </c>
      <c r="R45" s="1560" t="s">
        <v>8</v>
      </c>
      <c r="S45" s="1561">
        <f t="shared" si="10"/>
        <v>100</v>
      </c>
      <c r="T45" s="1560" t="s">
        <v>8</v>
      </c>
      <c r="U45" s="1561">
        <f t="shared" si="11"/>
        <v>100</v>
      </c>
      <c r="V45" s="1560" t="s">
        <v>8</v>
      </c>
      <c r="W45" s="1561">
        <f t="shared" si="12"/>
        <v>100</v>
      </c>
      <c r="X45" s="1554"/>
      <c r="Y45" s="3408"/>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8"/>
      <c r="Q46" s="1559">
        <f t="shared" si="14"/>
        <v>111</v>
      </c>
      <c r="R46" s="1560" t="s">
        <v>8</v>
      </c>
      <c r="S46" s="1561">
        <f t="shared" si="10"/>
        <v>100</v>
      </c>
      <c r="T46" s="1560" t="s">
        <v>8</v>
      </c>
      <c r="U46" s="1561">
        <f t="shared" si="11"/>
        <v>100</v>
      </c>
      <c r="V46" s="1560" t="s">
        <v>8</v>
      </c>
      <c r="W46" s="1561">
        <f t="shared" si="12"/>
        <v>100</v>
      </c>
      <c r="X46" s="1554"/>
      <c r="Y46" s="3408"/>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8"/>
      <c r="Q47" s="1559">
        <f t="shared" si="14"/>
        <v>111</v>
      </c>
      <c r="R47" s="1564" t="s">
        <v>8</v>
      </c>
      <c r="S47" s="1565">
        <f t="shared" si="10"/>
        <v>100</v>
      </c>
      <c r="T47" s="1564" t="s">
        <v>8</v>
      </c>
      <c r="U47" s="1565">
        <f t="shared" si="11"/>
        <v>100</v>
      </c>
      <c r="V47" s="1564" t="s">
        <v>8</v>
      </c>
      <c r="W47" s="1565">
        <f t="shared" si="12"/>
        <v>100</v>
      </c>
      <c r="X47" s="1566"/>
      <c r="Y47" s="3408"/>
      <c r="Z47" s="1567">
        <f t="shared" si="13"/>
        <v>111</v>
      </c>
      <c r="AA47" s="1563">
        <f t="shared" si="3"/>
        <v>1</v>
      </c>
      <c r="AB47" s="1563">
        <f t="shared" si="4"/>
        <v>1</v>
      </c>
      <c r="AC47" s="1563">
        <f t="shared" si="5"/>
        <v>1</v>
      </c>
    </row>
    <row r="48" spans="1:29" ht="20.25">
      <c r="A48" s="607" t="s">
        <v>556</v>
      </c>
      <c r="B48" s="608" t="s">
        <v>3085</v>
      </c>
      <c r="C48" s="609" t="s">
        <v>1</v>
      </c>
      <c r="D48" s="610"/>
      <c r="E48" s="611"/>
      <c r="F48" s="612"/>
      <c r="G48" s="613"/>
      <c r="H48" s="614"/>
      <c r="I48" s="611"/>
      <c r="J48" s="614"/>
      <c r="K48" s="1336"/>
      <c r="L48" s="2130"/>
      <c r="M48" s="2118"/>
      <c r="N48" s="2118"/>
      <c r="O48" s="2131"/>
      <c r="P48" s="3403" t="str">
        <f>A48</f>
        <v>成交单价</v>
      </c>
      <c r="Q48" s="3403"/>
      <c r="R48" s="3417">
        <f>E48</f>
        <v>0</v>
      </c>
      <c r="S48" s="3417"/>
      <c r="T48" s="3417">
        <f>G48</f>
        <v>0</v>
      </c>
      <c r="U48" s="3417"/>
      <c r="V48" s="3417">
        <f>I48</f>
        <v>0</v>
      </c>
      <c r="W48" s="3417"/>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03" t="str">
        <f>A49</f>
        <v>比较价格（元/平方米）</v>
      </c>
      <c r="Q49" s="3403"/>
      <c r="R49" s="3428" t="e">
        <f>ROUND(PRODUCT(R48,AA9:AA47),0)</f>
        <v>#DIV/0!</v>
      </c>
      <c r="S49" s="3428"/>
      <c r="T49" s="3428" t="e">
        <f>ROUND(PRODUCT(T48,AB9:AB47),0)</f>
        <v>#DIV/0!</v>
      </c>
      <c r="U49" s="3428"/>
      <c r="V49" s="3428" t="e">
        <f>ROUND(PRODUCT(V48,AC9:AC47),0)</f>
        <v>#DIV/0!</v>
      </c>
      <c r="W49" s="3428"/>
      <c r="X49" s="1546"/>
      <c r="Y49" s="1546"/>
      <c r="Z49" s="1546"/>
      <c r="AA49" s="1546"/>
      <c r="AB49" s="1546"/>
      <c r="AC49" s="1546"/>
    </row>
    <row r="50" spans="1:29" ht="21" thickBot="1">
      <c r="A50" s="621" t="s">
        <v>3086</v>
      </c>
      <c r="B50" s="622"/>
      <c r="C50" s="623" t="e">
        <f>R50</f>
        <v>#DIV/0!</v>
      </c>
      <c r="D50" s="623"/>
      <c r="E50" s="623"/>
      <c r="F50" s="623"/>
      <c r="G50" s="623"/>
      <c r="H50" s="623"/>
      <c r="I50" s="623"/>
      <c r="J50" s="623"/>
      <c r="K50" s="1338"/>
      <c r="L50" s="2130"/>
      <c r="M50" s="2118"/>
      <c r="N50" s="2118"/>
      <c r="O50" s="2131"/>
      <c r="P50" s="3425" t="str">
        <f>A50</f>
        <v>估价对象办公用房的比较价格（楼面单价，元/平方米）</v>
      </c>
      <c r="Q50" s="3426"/>
      <c r="R50" s="3427" t="e">
        <f>ROUND(AVERAGE(R49:V49),0)</f>
        <v>#DIV/0!</v>
      </c>
      <c r="S50" s="3427"/>
      <c r="T50" s="3427"/>
      <c r="U50" s="3427"/>
      <c r="V50" s="3427"/>
      <c r="W50" s="3427"/>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87" t="s">
        <v>2281</v>
      </c>
      <c r="H57" s="3388"/>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44858</v>
      </c>
      <c r="F58" s="636" t="e">
        <f t="shared" ref="F58:F67" si="15">ROUND(B58*E58/10000,0)</f>
        <v>#DIV/0!</v>
      </c>
      <c r="G58" s="3389"/>
      <c r="H58" s="339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391"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39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39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39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0.25</v>
      </c>
      <c r="D63" s="2215">
        <v>0.25</v>
      </c>
      <c r="E63" s="641">
        <f>'数据-汇总表'!E11</f>
        <v>0</v>
      </c>
      <c r="F63" s="636" t="e">
        <f t="shared" si="15"/>
        <v>#DIV/0!</v>
      </c>
      <c r="G63" s="1931" t="s">
        <v>2283</v>
      </c>
      <c r="H63" s="1934" t="str">
        <f>项目基本情况!C43</f>
        <v>六级</v>
      </c>
      <c r="I63" s="1543">
        <f>SUMIF(修正!$A$45:$A$56,H63,修正!F45:F56)</f>
        <v>0.25</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0.25</v>
      </c>
      <c r="D64" s="2215">
        <v>0.25</v>
      </c>
      <c r="E64" s="641">
        <f>'数据-汇总表'!E12</f>
        <v>0</v>
      </c>
      <c r="F64" s="636" t="e">
        <f t="shared" si="15"/>
        <v>#DIV/0!</v>
      </c>
      <c r="G64" s="1932" t="s">
        <v>1677</v>
      </c>
      <c r="H64" s="1930" t="str">
        <f>IF(G64="商业",项目基本情况!B43,IF(G64="办公",项目基本情况!C43,IF(G64="住宅",项目基本情况!D43,项目基本情况!E43)))</f>
        <v>六级</v>
      </c>
      <c r="I64" s="1543">
        <f>SUMIF(修正!$A$45:$A$56,H64,修正!G45:G56)</f>
        <v>0.25</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8303</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0.2</v>
      </c>
      <c r="D67" s="2215">
        <v>0.25</v>
      </c>
      <c r="E67" s="641">
        <f>'数据-汇总表'!E15</f>
        <v>0</v>
      </c>
      <c r="F67" s="636" t="e">
        <f t="shared" si="15"/>
        <v>#DIV/0!</v>
      </c>
      <c r="G67" s="1933" t="s">
        <v>2283</v>
      </c>
      <c r="H67" s="1935" t="str">
        <f>项目基本情况!C43</f>
        <v>六级</v>
      </c>
      <c r="I67" s="1543">
        <f>SUMIF(修正!$A$45:$A$56,H67,修正!H45:H56)</f>
        <v>0.2</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53161</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2019-4-1</v>
      </c>
      <c r="D70" s="2755">
        <f>EDATE(C70,-3)</f>
        <v>43466</v>
      </c>
      <c r="E70" s="2755">
        <f t="shared" ref="E70:N70" si="18">EDATE(D70,-3)</f>
        <v>43374</v>
      </c>
      <c r="F70" s="2755">
        <f t="shared" si="18"/>
        <v>43282</v>
      </c>
      <c r="G70" s="2755">
        <f t="shared" si="18"/>
        <v>43191</v>
      </c>
      <c r="H70" s="2755">
        <f t="shared" si="18"/>
        <v>43101</v>
      </c>
      <c r="I70" s="2755">
        <f t="shared" si="18"/>
        <v>43009</v>
      </c>
      <c r="J70" s="2755">
        <f t="shared" si="18"/>
        <v>42917</v>
      </c>
      <c r="K70" s="2755">
        <f t="shared" si="18"/>
        <v>42826</v>
      </c>
      <c r="L70" s="2755">
        <f t="shared" si="18"/>
        <v>42736</v>
      </c>
      <c r="M70" s="2755">
        <f t="shared" si="18"/>
        <v>42644</v>
      </c>
      <c r="N70" s="2755">
        <f t="shared" si="18"/>
        <v>42552</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北京市平均增长率2.06%</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92" t="s">
        <v>3087</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9" t="s">
        <v>522</v>
      </c>
      <c r="D6" s="3410"/>
      <c r="E6" s="3434" t="s">
        <v>523</v>
      </c>
      <c r="F6" s="3435"/>
      <c r="G6" s="3409" t="s">
        <v>524</v>
      </c>
      <c r="H6" s="3410"/>
      <c r="I6" s="3409" t="s">
        <v>525</v>
      </c>
      <c r="J6" s="3410"/>
      <c r="K6" s="514" t="s">
        <v>526</v>
      </c>
      <c r="L6" s="2119"/>
      <c r="M6" s="2120"/>
      <c r="N6" s="2120"/>
      <c r="O6" s="2120"/>
      <c r="P6" s="3411" t="s">
        <v>527</v>
      </c>
      <c r="Q6" s="3412"/>
      <c r="R6" s="3397" t="s">
        <v>523</v>
      </c>
      <c r="S6" s="3398"/>
      <c r="T6" s="3397" t="s">
        <v>524</v>
      </c>
      <c r="U6" s="3398"/>
      <c r="V6" s="3417" t="s">
        <v>525</v>
      </c>
      <c r="W6" s="3417"/>
      <c r="X6" s="1554"/>
      <c r="Y6" s="3397" t="s">
        <v>527</v>
      </c>
      <c r="Z6" s="3398"/>
      <c r="AA6" s="3392" t="s">
        <v>523</v>
      </c>
      <c r="AB6" s="3393" t="s">
        <v>524</v>
      </c>
      <c r="AC6" s="3392" t="s">
        <v>525</v>
      </c>
    </row>
    <row r="7" spans="1:29" ht="15">
      <c r="A7" s="515"/>
      <c r="B7" s="516"/>
      <c r="C7" s="3420" t="s">
        <v>2927</v>
      </c>
      <c r="D7" s="3421"/>
      <c r="E7" s="3436" t="s">
        <v>2928</v>
      </c>
      <c r="F7" s="3437"/>
      <c r="G7" s="3420" t="s">
        <v>2929</v>
      </c>
      <c r="H7" s="3421"/>
      <c r="I7" s="3420" t="s">
        <v>2930</v>
      </c>
      <c r="J7" s="3421"/>
      <c r="K7" s="514"/>
      <c r="L7" s="2119"/>
      <c r="M7" s="2120"/>
      <c r="N7" s="2120"/>
      <c r="O7" s="2120"/>
      <c r="P7" s="3413"/>
      <c r="Q7" s="3414"/>
      <c r="R7" s="3399"/>
      <c r="S7" s="3400"/>
      <c r="T7" s="3399"/>
      <c r="U7" s="3400"/>
      <c r="V7" s="3417"/>
      <c r="W7" s="3417"/>
      <c r="X7" s="1554"/>
      <c r="Y7" s="3399"/>
      <c r="Z7" s="3400"/>
      <c r="AA7" s="3393"/>
      <c r="AB7" s="3393"/>
      <c r="AC7" s="3393"/>
    </row>
    <row r="8" spans="1:29" ht="15.75" thickBot="1">
      <c r="A8" s="517"/>
      <c r="B8" s="518"/>
      <c r="C8" s="3418" t="s">
        <v>2931</v>
      </c>
      <c r="D8" s="3419"/>
      <c r="E8" s="3438" t="s">
        <v>2931</v>
      </c>
      <c r="F8" s="3439"/>
      <c r="G8" s="3418" t="s">
        <v>2931</v>
      </c>
      <c r="H8" s="3419"/>
      <c r="I8" s="3418" t="s">
        <v>2931</v>
      </c>
      <c r="J8" s="3419"/>
      <c r="K8" s="514" t="s">
        <v>528</v>
      </c>
      <c r="L8" s="2119"/>
      <c r="M8" s="2120"/>
      <c r="N8" s="2120"/>
      <c r="O8" s="2120"/>
      <c r="P8" s="3415"/>
      <c r="Q8" s="3416"/>
      <c r="R8" s="3399"/>
      <c r="S8" s="3400"/>
      <c r="T8" s="3401"/>
      <c r="U8" s="3402"/>
      <c r="V8" s="3417"/>
      <c r="W8" s="3417"/>
      <c r="X8" s="1554"/>
      <c r="Y8" s="3401"/>
      <c r="Z8" s="3402"/>
      <c r="AA8" s="3394"/>
      <c r="AB8" s="3394"/>
      <c r="AC8" s="3394"/>
    </row>
    <row r="9" spans="1:29" s="1216" customFormat="1" ht="15.75" thickBot="1">
      <c r="A9" s="2868"/>
      <c r="B9" s="2875" t="s">
        <v>529</v>
      </c>
      <c r="C9" s="519">
        <f>'数据-取费表'!B2</f>
        <v>43570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5" t="s">
        <v>530</v>
      </c>
      <c r="Q9" s="3404"/>
      <c r="R9" s="1555" t="s">
        <v>8</v>
      </c>
      <c r="S9" s="1556">
        <f t="shared" ref="S9:S17" si="0">F9</f>
        <v>0</v>
      </c>
      <c r="T9" s="1555" t="s">
        <v>8</v>
      </c>
      <c r="U9" s="1556">
        <f t="shared" ref="U9:U17" si="1">H9</f>
        <v>0</v>
      </c>
      <c r="V9" s="1555" t="s">
        <v>8</v>
      </c>
      <c r="W9" s="1556">
        <f t="shared" ref="W9:W17" si="2">J9</f>
        <v>0</v>
      </c>
      <c r="X9" s="1557"/>
      <c r="Y9" s="3395" t="s">
        <v>530</v>
      </c>
      <c r="Z9" s="3396"/>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5" t="s">
        <v>533</v>
      </c>
      <c r="Q10" s="3396"/>
      <c r="R10" s="1555" t="s">
        <v>8</v>
      </c>
      <c r="S10" s="1556">
        <f t="shared" si="0"/>
        <v>0</v>
      </c>
      <c r="T10" s="1555" t="s">
        <v>8</v>
      </c>
      <c r="U10" s="1556">
        <f t="shared" si="1"/>
        <v>0</v>
      </c>
      <c r="V10" s="1555" t="s">
        <v>8</v>
      </c>
      <c r="W10" s="1556">
        <f t="shared" si="2"/>
        <v>0</v>
      </c>
      <c r="X10" s="1557"/>
      <c r="Y10" s="3395" t="s">
        <v>533</v>
      </c>
      <c r="Z10" s="3396"/>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3" t="s">
        <v>535</v>
      </c>
      <c r="Q11" s="1147" t="str">
        <f t="shared" ref="Q11:Q17" si="6">B11</f>
        <v>用途</v>
      </c>
      <c r="R11" s="1555" t="s">
        <v>8</v>
      </c>
      <c r="S11" s="1556">
        <f t="shared" si="0"/>
        <v>100</v>
      </c>
      <c r="T11" s="1555" t="s">
        <v>8</v>
      </c>
      <c r="U11" s="1556">
        <f t="shared" si="1"/>
        <v>100</v>
      </c>
      <c r="V11" s="1555" t="s">
        <v>8</v>
      </c>
      <c r="W11" s="1556">
        <f t="shared" si="2"/>
        <v>100</v>
      </c>
      <c r="X11" s="1557"/>
      <c r="Y11" s="3347"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03"/>
      <c r="Q12" s="1147" t="str">
        <f t="shared" si="6"/>
        <v>土地使用年限（年）</v>
      </c>
      <c r="R12" s="1555" t="s">
        <v>8</v>
      </c>
      <c r="S12" s="1556">
        <f t="shared" si="0"/>
        <v>100</v>
      </c>
      <c r="T12" s="1555" t="s">
        <v>8</v>
      </c>
      <c r="U12" s="1556">
        <f t="shared" si="1"/>
        <v>100</v>
      </c>
      <c r="V12" s="1555" t="s">
        <v>8</v>
      </c>
      <c r="W12" s="1556">
        <f t="shared" si="2"/>
        <v>100</v>
      </c>
      <c r="X12" s="1557"/>
      <c r="Y12" s="3347"/>
      <c r="Z12" s="1146" t="str">
        <f t="shared" si="7"/>
        <v>土地使用年限（年）</v>
      </c>
      <c r="AA12" s="1558">
        <f t="shared" si="3"/>
        <v>1</v>
      </c>
      <c r="AB12" s="1558">
        <f t="shared" si="4"/>
        <v>1</v>
      </c>
      <c r="AC12" s="1558">
        <f t="shared" si="5"/>
        <v>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3"/>
      <c r="Q13" s="1147" t="str">
        <f t="shared" si="6"/>
        <v>容积率</v>
      </c>
      <c r="R13" s="1555" t="s">
        <v>8</v>
      </c>
      <c r="S13" s="1556" t="e">
        <f t="shared" si="0"/>
        <v>#N/A</v>
      </c>
      <c r="T13" s="1555" t="s">
        <v>8</v>
      </c>
      <c r="U13" s="1556" t="e">
        <f t="shared" si="1"/>
        <v>#N/A</v>
      </c>
      <c r="V13" s="1555" t="s">
        <v>8</v>
      </c>
      <c r="W13" s="1556" t="e">
        <f t="shared" si="2"/>
        <v>#N/A</v>
      </c>
      <c r="X13" s="1557"/>
      <c r="Y13" s="3347"/>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3"/>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3"/>
      <c r="Q15" s="1147">
        <f t="shared" si="6"/>
        <v>111</v>
      </c>
      <c r="R15" s="1555" t="s">
        <v>8</v>
      </c>
      <c r="S15" s="1556">
        <f t="shared" si="0"/>
        <v>100</v>
      </c>
      <c r="T15" s="1555" t="s">
        <v>8</v>
      </c>
      <c r="U15" s="1556">
        <f t="shared" si="1"/>
        <v>100</v>
      </c>
      <c r="V15" s="1555" t="s">
        <v>8</v>
      </c>
      <c r="W15" s="1556">
        <f t="shared" si="2"/>
        <v>100</v>
      </c>
      <c r="X15" s="1557"/>
      <c r="Y15" s="3347"/>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3"/>
      <c r="Q16" s="1147">
        <f t="shared" si="6"/>
        <v>111</v>
      </c>
      <c r="R16" s="1555" t="s">
        <v>8</v>
      </c>
      <c r="S16" s="1556">
        <f t="shared" si="0"/>
        <v>100</v>
      </c>
      <c r="T16" s="1555" t="s">
        <v>8</v>
      </c>
      <c r="U16" s="1556">
        <f t="shared" si="1"/>
        <v>100</v>
      </c>
      <c r="V16" s="1555" t="s">
        <v>8</v>
      </c>
      <c r="W16" s="1556">
        <f t="shared" si="2"/>
        <v>100</v>
      </c>
      <c r="X16" s="1557"/>
      <c r="Y16" s="3347"/>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5" t="s">
        <v>540</v>
      </c>
      <c r="Q17" s="1559" t="str">
        <f t="shared" si="6"/>
        <v>产业集聚程度</v>
      </c>
      <c r="R17" s="1560" t="s">
        <v>8</v>
      </c>
      <c r="S17" s="1561">
        <f t="shared" si="0"/>
        <v>100</v>
      </c>
      <c r="T17" s="1560" t="s">
        <v>8</v>
      </c>
      <c r="U17" s="1561">
        <f t="shared" si="1"/>
        <v>100</v>
      </c>
      <c r="V17" s="1560" t="s">
        <v>8</v>
      </c>
      <c r="W17" s="1561">
        <f t="shared" si="2"/>
        <v>100</v>
      </c>
      <c r="X17" s="1554"/>
      <c r="Y17" s="340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6"/>
      <c r="Q18" s="1559"/>
      <c r="R18" s="1560"/>
      <c r="S18" s="1561"/>
      <c r="T18" s="1560"/>
      <c r="U18" s="1561"/>
      <c r="V18" s="1560"/>
      <c r="W18" s="1561"/>
      <c r="X18" s="1554"/>
      <c r="Y18" s="3406"/>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6"/>
      <c r="Q19" s="1559" t="str">
        <f>B19</f>
        <v>交通便捷度</v>
      </c>
      <c r="R19" s="1560" t="s">
        <v>8</v>
      </c>
      <c r="S19" s="1561">
        <f>F19</f>
        <v>100</v>
      </c>
      <c r="T19" s="1560" t="s">
        <v>8</v>
      </c>
      <c r="U19" s="1561">
        <f>H19</f>
        <v>100</v>
      </c>
      <c r="V19" s="1560" t="s">
        <v>8</v>
      </c>
      <c r="W19" s="1561">
        <f>J19</f>
        <v>100</v>
      </c>
      <c r="X19" s="1554"/>
      <c r="Y19" s="340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6"/>
      <c r="Q20" s="1559"/>
      <c r="R20" s="1560"/>
      <c r="S20" s="1561"/>
      <c r="T20" s="1560"/>
      <c r="U20" s="1561"/>
      <c r="V20" s="1560"/>
      <c r="W20" s="1561"/>
      <c r="X20" s="1554"/>
      <c r="Y20" s="3406"/>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6"/>
      <c r="Q21" s="1559" t="str">
        <f t="shared" ref="Q21:Q35" si="8">B21</f>
        <v>区域土地利用方向</v>
      </c>
      <c r="R21" s="1560" t="s">
        <v>8</v>
      </c>
      <c r="S21" s="1561">
        <f>F21</f>
        <v>100</v>
      </c>
      <c r="T21" s="1560" t="s">
        <v>8</v>
      </c>
      <c r="U21" s="1561">
        <f>H21</f>
        <v>100</v>
      </c>
      <c r="V21" s="1560" t="s">
        <v>8</v>
      </c>
      <c r="W21" s="1561">
        <f>J21</f>
        <v>100</v>
      </c>
      <c r="X21" s="1554"/>
      <c r="Y21" s="340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6"/>
      <c r="Q22" s="1559"/>
      <c r="R22" s="1560"/>
      <c r="S22" s="1561"/>
      <c r="T22" s="1560"/>
      <c r="U22" s="1561"/>
      <c r="V22" s="1560"/>
      <c r="W22" s="1561"/>
      <c r="X22" s="1554"/>
      <c r="Y22" s="3406"/>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6"/>
      <c r="Q23" s="1559" t="str">
        <f t="shared" si="8"/>
        <v>环境状况</v>
      </c>
      <c r="R23" s="1560" t="s">
        <v>8</v>
      </c>
      <c r="S23" s="1561">
        <f>F23</f>
        <v>100</v>
      </c>
      <c r="T23" s="1560" t="s">
        <v>8</v>
      </c>
      <c r="U23" s="1561">
        <f>H23</f>
        <v>100</v>
      </c>
      <c r="V23" s="1560" t="s">
        <v>8</v>
      </c>
      <c r="W23" s="1561">
        <f>J23</f>
        <v>100</v>
      </c>
      <c r="X23" s="1554"/>
      <c r="Y23" s="340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6"/>
      <c r="Q24" s="1559"/>
      <c r="R24" s="1560"/>
      <c r="S24" s="1561"/>
      <c r="T24" s="1560"/>
      <c r="U24" s="1561"/>
      <c r="V24" s="1560"/>
      <c r="W24" s="1561"/>
      <c r="X24" s="1554"/>
      <c r="Y24" s="3406"/>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6"/>
      <c r="Q25" s="1147" t="str">
        <f t="shared" si="8"/>
        <v>公共配套设施</v>
      </c>
      <c r="R25" s="1555" t="s">
        <v>8</v>
      </c>
      <c r="S25" s="1556">
        <f>F25</f>
        <v>100</v>
      </c>
      <c r="T25" s="1555" t="s">
        <v>8</v>
      </c>
      <c r="U25" s="1556">
        <f>H25</f>
        <v>100</v>
      </c>
      <c r="V25" s="1555" t="s">
        <v>8</v>
      </c>
      <c r="W25" s="1556">
        <f>J25</f>
        <v>100</v>
      </c>
      <c r="X25" s="1557"/>
      <c r="Y25" s="3406"/>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6"/>
      <c r="Q26" s="1147"/>
      <c r="R26" s="1555"/>
      <c r="S26" s="1556"/>
      <c r="T26" s="1555"/>
      <c r="U26" s="1556"/>
      <c r="V26" s="1555"/>
      <c r="W26" s="1556"/>
      <c r="X26" s="1557"/>
      <c r="Y26" s="3406"/>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6"/>
      <c r="Q27" s="2543" t="str">
        <f t="shared" ref="Q27" si="9">B27</f>
        <v>基础设施水平</v>
      </c>
      <c r="R27" s="1555" t="s">
        <v>8</v>
      </c>
      <c r="S27" s="1556">
        <f>F27</f>
        <v>100</v>
      </c>
      <c r="T27" s="1555" t="s">
        <v>8</v>
      </c>
      <c r="U27" s="1556">
        <f>H27</f>
        <v>100</v>
      </c>
      <c r="V27" s="1555" t="s">
        <v>8</v>
      </c>
      <c r="W27" s="1556">
        <f>J27</f>
        <v>100</v>
      </c>
      <c r="X27" s="1557"/>
      <c r="Y27" s="3406"/>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6"/>
      <c r="Q28" s="2543"/>
      <c r="R28" s="1555"/>
      <c r="S28" s="1556"/>
      <c r="T28" s="1555"/>
      <c r="U28" s="1556"/>
      <c r="V28" s="1555"/>
      <c r="W28" s="1556"/>
      <c r="X28" s="1557"/>
      <c r="Y28" s="3406"/>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6"/>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6"/>
      <c r="Q30" s="1559" t="str">
        <f t="shared" si="8"/>
        <v>毗邻道路的类型与等级</v>
      </c>
      <c r="R30" s="1560" t="s">
        <v>8</v>
      </c>
      <c r="S30" s="1561">
        <f t="shared" si="10"/>
        <v>100</v>
      </c>
      <c r="T30" s="1560" t="s">
        <v>8</v>
      </c>
      <c r="U30" s="1561">
        <f t="shared" si="11"/>
        <v>100</v>
      </c>
      <c r="V30" s="1560" t="s">
        <v>8</v>
      </c>
      <c r="W30" s="1561">
        <f t="shared" si="12"/>
        <v>100</v>
      </c>
      <c r="X30" s="1554"/>
      <c r="Y30" s="340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6"/>
      <c r="Q31" s="1559"/>
      <c r="R31" s="1560"/>
      <c r="S31" s="1561"/>
      <c r="T31" s="1560"/>
      <c r="U31" s="1561"/>
      <c r="V31" s="1560"/>
      <c r="W31" s="1561"/>
      <c r="X31" s="1554"/>
      <c r="Y31" s="3406"/>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6"/>
      <c r="Q32" s="1559" t="str">
        <f t="shared" si="8"/>
        <v>土地级别</v>
      </c>
      <c r="R32" s="1560" t="s">
        <v>8</v>
      </c>
      <c r="S32" s="1561">
        <f t="shared" si="10"/>
        <v>100</v>
      </c>
      <c r="T32" s="1560" t="s">
        <v>8</v>
      </c>
      <c r="U32" s="1561">
        <f t="shared" si="11"/>
        <v>100</v>
      </c>
      <c r="V32" s="1560" t="s">
        <v>8</v>
      </c>
      <c r="W32" s="1561">
        <f t="shared" si="12"/>
        <v>100</v>
      </c>
      <c r="X32" s="1554"/>
      <c r="Y32" s="340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6"/>
      <c r="Q33" s="1559">
        <f t="shared" si="8"/>
        <v>111</v>
      </c>
      <c r="R33" s="1560" t="s">
        <v>8</v>
      </c>
      <c r="S33" s="1561">
        <f t="shared" si="10"/>
        <v>100</v>
      </c>
      <c r="T33" s="1560" t="s">
        <v>8</v>
      </c>
      <c r="U33" s="1561">
        <f t="shared" si="11"/>
        <v>100</v>
      </c>
      <c r="V33" s="1560" t="s">
        <v>8</v>
      </c>
      <c r="W33" s="1561">
        <f t="shared" si="12"/>
        <v>100</v>
      </c>
      <c r="X33" s="1554"/>
      <c r="Y33" s="340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7" t="s">
        <v>550</v>
      </c>
      <c r="Q34" s="1559">
        <f t="shared" si="8"/>
        <v>111</v>
      </c>
      <c r="R34" s="1560" t="s">
        <v>8</v>
      </c>
      <c r="S34" s="1561">
        <f t="shared" si="10"/>
        <v>100</v>
      </c>
      <c r="T34" s="1560" t="s">
        <v>8</v>
      </c>
      <c r="U34" s="1561">
        <f t="shared" si="11"/>
        <v>100</v>
      </c>
      <c r="V34" s="1560" t="s">
        <v>8</v>
      </c>
      <c r="W34" s="1561">
        <f t="shared" si="12"/>
        <v>100</v>
      </c>
      <c r="X34" s="1554"/>
      <c r="Y34" s="3408"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8"/>
      <c r="Q35" s="1559">
        <f t="shared" si="8"/>
        <v>111</v>
      </c>
      <c r="R35" s="1564" t="s">
        <v>8</v>
      </c>
      <c r="S35" s="1565">
        <f t="shared" si="10"/>
        <v>100</v>
      </c>
      <c r="T35" s="1564" t="s">
        <v>8</v>
      </c>
      <c r="U35" s="1565">
        <f t="shared" si="11"/>
        <v>100</v>
      </c>
      <c r="V35" s="1564" t="s">
        <v>8</v>
      </c>
      <c r="W35" s="1565">
        <f t="shared" si="12"/>
        <v>100</v>
      </c>
      <c r="X35" s="1566"/>
      <c r="Y35" s="3408"/>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8"/>
      <c r="Q36" s="1559" t="str">
        <f>B36</f>
        <v>宗地面积</v>
      </c>
      <c r="R36" s="1560" t="s">
        <v>8</v>
      </c>
      <c r="S36" s="1561" t="e">
        <f t="shared" si="10"/>
        <v>#N/A</v>
      </c>
      <c r="T36" s="1560" t="s">
        <v>8</v>
      </c>
      <c r="U36" s="1561" t="e">
        <f t="shared" si="11"/>
        <v>#N/A</v>
      </c>
      <c r="V36" s="1560" t="s">
        <v>8</v>
      </c>
      <c r="W36" s="1561" t="e">
        <f t="shared" si="12"/>
        <v>#N/A</v>
      </c>
      <c r="X36" s="1554"/>
      <c r="Y36" s="340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8"/>
      <c r="Q37" s="1559" t="str">
        <f t="shared" ref="Q37:Q42" si="14">B37</f>
        <v>宗地形状</v>
      </c>
      <c r="R37" s="1560" t="s">
        <v>8</v>
      </c>
      <c r="S37" s="1561">
        <f t="shared" si="10"/>
        <v>100</v>
      </c>
      <c r="T37" s="1560" t="s">
        <v>8</v>
      </c>
      <c r="U37" s="1561">
        <f t="shared" si="11"/>
        <v>100</v>
      </c>
      <c r="V37" s="1560" t="s">
        <v>8</v>
      </c>
      <c r="W37" s="1561">
        <f t="shared" si="12"/>
        <v>100</v>
      </c>
      <c r="X37" s="1554"/>
      <c r="Y37" s="3408"/>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8"/>
      <c r="Q38" s="1559" t="str">
        <f t="shared" si="14"/>
        <v>宗地开发程度</v>
      </c>
      <c r="R38" s="1555" t="s">
        <v>8</v>
      </c>
      <c r="S38" s="1556">
        <f t="shared" si="10"/>
        <v>100</v>
      </c>
      <c r="T38" s="1555" t="s">
        <v>8</v>
      </c>
      <c r="U38" s="1556">
        <f t="shared" si="11"/>
        <v>100</v>
      </c>
      <c r="V38" s="1555" t="s">
        <v>8</v>
      </c>
      <c r="W38" s="1556">
        <f t="shared" si="12"/>
        <v>100</v>
      </c>
      <c r="X38" s="1557"/>
      <c r="Y38" s="340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8" t="s">
        <v>601</v>
      </c>
      <c r="Q39" s="1559" t="str">
        <f t="shared" si="14"/>
        <v>工程地质条件</v>
      </c>
      <c r="R39" s="1560" t="s">
        <v>8</v>
      </c>
      <c r="S39" s="1561">
        <f t="shared" si="10"/>
        <v>100</v>
      </c>
      <c r="T39" s="1560" t="s">
        <v>8</v>
      </c>
      <c r="U39" s="1561">
        <f t="shared" si="11"/>
        <v>100</v>
      </c>
      <c r="V39" s="1560" t="s">
        <v>8</v>
      </c>
      <c r="W39" s="1561">
        <f t="shared" si="12"/>
        <v>100</v>
      </c>
      <c r="X39" s="1554"/>
      <c r="Y39" s="340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8"/>
      <c r="Q40" s="1559">
        <f t="shared" si="14"/>
        <v>111</v>
      </c>
      <c r="R40" s="1560" t="s">
        <v>8</v>
      </c>
      <c r="S40" s="1561">
        <f t="shared" si="10"/>
        <v>100</v>
      </c>
      <c r="T40" s="1560" t="s">
        <v>8</v>
      </c>
      <c r="U40" s="1561">
        <f t="shared" si="11"/>
        <v>100</v>
      </c>
      <c r="V40" s="1560" t="s">
        <v>8</v>
      </c>
      <c r="W40" s="1561">
        <f t="shared" si="12"/>
        <v>100</v>
      </c>
      <c r="X40" s="1554"/>
      <c r="Y40" s="340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8"/>
      <c r="Q41" s="1559">
        <f t="shared" si="14"/>
        <v>111</v>
      </c>
      <c r="R41" s="1560" t="s">
        <v>8</v>
      </c>
      <c r="S41" s="1561">
        <f t="shared" si="10"/>
        <v>100</v>
      </c>
      <c r="T41" s="1560" t="s">
        <v>8</v>
      </c>
      <c r="U41" s="1561">
        <f t="shared" si="11"/>
        <v>100</v>
      </c>
      <c r="V41" s="1560" t="s">
        <v>8</v>
      </c>
      <c r="W41" s="1561">
        <f t="shared" si="12"/>
        <v>100</v>
      </c>
      <c r="X41" s="1554"/>
      <c r="Y41" s="340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8"/>
      <c r="Q42" s="1559">
        <f t="shared" si="14"/>
        <v>111</v>
      </c>
      <c r="R42" s="1564" t="s">
        <v>8</v>
      </c>
      <c r="S42" s="1565">
        <f t="shared" si="10"/>
        <v>100</v>
      </c>
      <c r="T42" s="1564" t="s">
        <v>8</v>
      </c>
      <c r="U42" s="1565">
        <f t="shared" si="11"/>
        <v>100</v>
      </c>
      <c r="V42" s="1564" t="s">
        <v>8</v>
      </c>
      <c r="W42" s="1565">
        <f t="shared" si="12"/>
        <v>100</v>
      </c>
      <c r="X42" s="1566"/>
      <c r="Y42" s="3408"/>
      <c r="Z42" s="1567">
        <f t="shared" si="13"/>
        <v>111</v>
      </c>
      <c r="AA42" s="1563">
        <f t="shared" si="3"/>
        <v>1</v>
      </c>
      <c r="AB42" s="1563">
        <f t="shared" si="4"/>
        <v>1</v>
      </c>
      <c r="AC42" s="1563">
        <f t="shared" si="5"/>
        <v>1</v>
      </c>
    </row>
    <row r="43" spans="1:29" ht="15">
      <c r="A43" s="607" t="s">
        <v>556</v>
      </c>
      <c r="B43" s="608" t="s">
        <v>2932</v>
      </c>
      <c r="C43" s="609" t="s">
        <v>1</v>
      </c>
      <c r="D43" s="610"/>
      <c r="E43" s="611"/>
      <c r="F43" s="612"/>
      <c r="G43" s="613"/>
      <c r="H43" s="614"/>
      <c r="I43" s="611"/>
      <c r="J43" s="614"/>
      <c r="K43" s="1336"/>
      <c r="L43" s="2130"/>
      <c r="M43" s="2120"/>
      <c r="N43" s="2120"/>
      <c r="O43" s="2131"/>
      <c r="P43" s="3403" t="str">
        <f>A43</f>
        <v>成交单价</v>
      </c>
      <c r="Q43" s="3403"/>
      <c r="R43" s="3417">
        <f>E43</f>
        <v>0</v>
      </c>
      <c r="S43" s="3417"/>
      <c r="T43" s="3417">
        <f>G43</f>
        <v>0</v>
      </c>
      <c r="U43" s="3417"/>
      <c r="V43" s="3417">
        <f>I43</f>
        <v>0</v>
      </c>
      <c r="W43" s="3417"/>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03" t="str">
        <f>A44</f>
        <v>比较价格（元/平方米）</v>
      </c>
      <c r="Q44" s="3403"/>
      <c r="R44" s="3428" t="e">
        <f>ROUND(PRODUCT(R43,AA9:AA42),0)</f>
        <v>#DIV/0!</v>
      </c>
      <c r="S44" s="3428"/>
      <c r="T44" s="3428" t="e">
        <f>ROUND(PRODUCT(T43,AB9:AB42),0)</f>
        <v>#DIV/0!</v>
      </c>
      <c r="U44" s="3428"/>
      <c r="V44" s="3428" t="e">
        <f>ROUND(PRODUCT(V43,AC9:AC42),0)</f>
        <v>#DIV/0!</v>
      </c>
      <c r="W44" s="3428"/>
      <c r="X44" s="1546"/>
      <c r="Y44" s="1546"/>
      <c r="Z44" s="1546"/>
      <c r="AA44" s="1546"/>
      <c r="AB44" s="1546"/>
      <c r="AC44" s="1546"/>
    </row>
    <row r="45" spans="1:29" ht="15.75" thickBot="1">
      <c r="A45" s="621" t="s">
        <v>2933</v>
      </c>
      <c r="B45" s="622"/>
      <c r="C45" s="623" t="e">
        <f>R45</f>
        <v>#DIV/0!</v>
      </c>
      <c r="D45" s="623"/>
      <c r="E45" s="623"/>
      <c r="F45" s="623"/>
      <c r="G45" s="623"/>
      <c r="H45" s="623"/>
      <c r="I45" s="623"/>
      <c r="J45" s="623"/>
      <c r="K45" s="1338"/>
      <c r="L45" s="2130"/>
      <c r="M45" s="2120"/>
      <c r="N45" s="2120"/>
      <c r="O45" s="2131"/>
      <c r="P45" s="3425" t="str">
        <f>A45</f>
        <v>估价对象XX用房的比较价格（楼面单价，元/平方米）</v>
      </c>
      <c r="Q45" s="3426"/>
      <c r="R45" s="3427" t="e">
        <f>ROUND(AVERAGE(R44:V44),0)</f>
        <v>#DIV/0!</v>
      </c>
      <c r="S45" s="3427"/>
      <c r="T45" s="3427"/>
      <c r="U45" s="3427"/>
      <c r="V45" s="3427"/>
      <c r="W45" s="3427"/>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29" t="s">
        <v>2284</v>
      </c>
      <c r="H52" s="3430"/>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44858</v>
      </c>
      <c r="F53" s="1936" t="e">
        <f t="shared" ref="F53:F62" si="15">ROUND(B53*E53/10000,0)</f>
        <v>#DIV/0!</v>
      </c>
      <c r="G53" s="3431"/>
      <c r="H53" s="343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33"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3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3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3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0.25</v>
      </c>
      <c r="D58" s="2215">
        <v>0.25</v>
      </c>
      <c r="E58" s="641">
        <f>'数据-汇总表'!E11</f>
        <v>0</v>
      </c>
      <c r="F58" s="1936" t="e">
        <f t="shared" si="15"/>
        <v>#DIV/0!</v>
      </c>
      <c r="G58" s="1942" t="s">
        <v>2286</v>
      </c>
      <c r="H58" s="1941" t="str">
        <f>项目基本情况!C43</f>
        <v>六级</v>
      </c>
      <c r="I58" s="1939">
        <f>SUMIF(修正!$A$45:$A$56,H58,修正!F45:F56)</f>
        <v>0.25</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0.25</v>
      </c>
      <c r="D59" s="2215">
        <v>0.25</v>
      </c>
      <c r="E59" s="641">
        <f>'数据-汇总表'!E12</f>
        <v>0</v>
      </c>
      <c r="F59" s="1936" t="e">
        <f t="shared" si="15"/>
        <v>#DIV/0!</v>
      </c>
      <c r="G59" s="1932" t="s">
        <v>1677</v>
      </c>
      <c r="H59" s="1940" t="str">
        <f>IF(G59="商业",项目基本情况!B43,IF(G59="办公",项目基本情况!C43,IF(G59="住宅",项目基本情况!D43,项目基本情况!E43)))</f>
        <v>六级</v>
      </c>
      <c r="I59" s="1939">
        <f>SUMIF(修正!$A$45:$A$56,H59,修正!G45:G56)</f>
        <v>0.25</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8303</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0.2</v>
      </c>
      <c r="D62" s="2215">
        <v>0.25</v>
      </c>
      <c r="E62" s="641">
        <f>'数据-汇总表'!E15</f>
        <v>0</v>
      </c>
      <c r="F62" s="1936" t="e">
        <f t="shared" si="15"/>
        <v>#DIV/0!</v>
      </c>
      <c r="G62" s="1943" t="s">
        <v>2286</v>
      </c>
      <c r="H62" s="1944" t="str">
        <f>项目基本情况!C43</f>
        <v>六级</v>
      </c>
      <c r="I62" s="1939">
        <f>SUMIF(修正!$A$45:$A$56,H62,修正!H45:H56)</f>
        <v>0.2</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12883</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2019-4-1</v>
      </c>
      <c r="D65" s="2755">
        <f>EDATE(C65,-3)</f>
        <v>43466</v>
      </c>
      <c r="E65" s="2755">
        <f t="shared" ref="E65:N65" si="18">EDATE(D65,-3)</f>
        <v>43374</v>
      </c>
      <c r="F65" s="2755">
        <f t="shared" si="18"/>
        <v>43282</v>
      </c>
      <c r="G65" s="2755">
        <f t="shared" si="18"/>
        <v>43191</v>
      </c>
      <c r="H65" s="2755">
        <f t="shared" si="18"/>
        <v>43101</v>
      </c>
      <c r="I65" s="2755">
        <f t="shared" si="18"/>
        <v>43009</v>
      </c>
      <c r="J65" s="2755">
        <f t="shared" si="18"/>
        <v>42917</v>
      </c>
      <c r="K65" s="2755">
        <f t="shared" si="18"/>
        <v>42826</v>
      </c>
      <c r="L65" s="2755">
        <f t="shared" si="18"/>
        <v>42736</v>
      </c>
      <c r="M65" s="2755">
        <f t="shared" si="18"/>
        <v>42644</v>
      </c>
      <c r="N65" s="2755">
        <f t="shared" si="18"/>
        <v>42552</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J56" sqref="J56"/>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1677</v>
      </c>
      <c r="D1" s="3077" t="s">
        <v>952</v>
      </c>
      <c r="E1" s="2352" t="s">
        <v>2374</v>
      </c>
      <c r="F1" s="2353">
        <f ca="1">J53</f>
        <v>50</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123830</v>
      </c>
      <c r="C2" s="2043"/>
      <c r="D2" s="2041"/>
      <c r="E2" s="2042"/>
      <c r="F2" s="2042"/>
      <c r="G2" s="1577"/>
      <c r="H2" s="2043"/>
      <c r="I2" s="2043"/>
      <c r="J2" s="2043"/>
      <c r="K2" s="2044"/>
      <c r="L2" s="2043"/>
      <c r="M2" s="2043"/>
    </row>
    <row r="3" spans="1:33" ht="18" customHeight="1" thickBot="1">
      <c r="A3" s="833" t="s">
        <v>1727</v>
      </c>
      <c r="B3" s="834">
        <f ca="1">IF(ISERROR(B2*10000/F43),0,ROUND(B2*10000/F43,0))</f>
        <v>27605</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8722</v>
      </c>
      <c r="D5" s="2461" t="s">
        <v>2461</v>
      </c>
      <c r="E5" s="2455"/>
      <c r="F5" s="2456"/>
      <c r="G5" s="1579"/>
      <c r="H5" s="781">
        <v>1</v>
      </c>
      <c r="I5" s="782" t="s">
        <v>2458</v>
      </c>
      <c r="J5" s="55">
        <f ca="1">J6+J10+J12</f>
        <v>0</v>
      </c>
      <c r="K5" s="2461" t="s">
        <v>2461</v>
      </c>
      <c r="L5" s="2455"/>
      <c r="M5" s="2456"/>
    </row>
    <row r="6" spans="1:33" ht="18" customHeight="1">
      <c r="A6" s="1816" t="s">
        <v>1824</v>
      </c>
      <c r="B6" s="3442" t="s">
        <v>2463</v>
      </c>
      <c r="C6" s="783">
        <f ca="1">ROUND(F6*F8*F7*(1-F9)/10000,0)</f>
        <v>8711</v>
      </c>
      <c r="D6" s="2462" t="s">
        <v>2462</v>
      </c>
      <c r="E6" s="784" t="s">
        <v>1738</v>
      </c>
      <c r="F6" s="785">
        <f ca="1">INDIRECT("'数据-取费表'!u"&amp;$G$1)</f>
        <v>5.6</v>
      </c>
      <c r="G6" s="1579"/>
      <c r="H6" s="2469" t="s">
        <v>2468</v>
      </c>
      <c r="I6" s="3442" t="s">
        <v>2463</v>
      </c>
      <c r="J6" s="783">
        <f ca="1">ROUND(M6*M8*M7*(1-M9)/10000,0)</f>
        <v>0</v>
      </c>
      <c r="K6" s="341" t="s">
        <v>1737</v>
      </c>
      <c r="L6" s="784" t="s">
        <v>1738</v>
      </c>
      <c r="M6" s="785">
        <f ca="1">INDIRECT("'数据-取费表'!z"&amp;$G$1)</f>
        <v>0</v>
      </c>
    </row>
    <row r="7" spans="1:33" ht="18" customHeight="1">
      <c r="A7" s="2465"/>
      <c r="B7" s="3443"/>
      <c r="C7" s="788"/>
      <c r="D7" s="789"/>
      <c r="E7" s="784" t="s">
        <v>1739</v>
      </c>
      <c r="F7" s="785">
        <f ca="1">IF(INDIRECT("'数据-取费表'!ah"&amp;$G$1)="",INDIRECT("'数据-取费表'!k"&amp;$G$1),INDIRECT("'数据-取费表'!ah"&amp;$G$1))</f>
        <v>44858</v>
      </c>
      <c r="G7" s="1579"/>
      <c r="H7" s="2454"/>
      <c r="I7" s="3443"/>
      <c r="J7" s="788"/>
      <c r="K7" s="789"/>
      <c r="L7" s="784" t="s">
        <v>1739</v>
      </c>
      <c r="M7" s="785">
        <f ca="1">F7</f>
        <v>44858</v>
      </c>
    </row>
    <row r="8" spans="1:33" ht="18" customHeight="1">
      <c r="A8" s="2458"/>
      <c r="B8" s="3444"/>
      <c r="C8" s="788"/>
      <c r="D8" s="789"/>
      <c r="E8" s="784" t="s">
        <v>1740</v>
      </c>
      <c r="F8" s="785">
        <f ca="1">INDIRECT("'数据-取费表'!ai"&amp;$G$1)</f>
        <v>365</v>
      </c>
      <c r="G8" s="1579"/>
      <c r="H8" s="2454"/>
      <c r="I8" s="3444"/>
      <c r="J8" s="788"/>
      <c r="K8" s="789"/>
      <c r="L8" s="784" t="s">
        <v>1740</v>
      </c>
      <c r="M8" s="785">
        <f ca="1">INDIRECT("'数据-取费表'!ai"&amp;$G$1)</f>
        <v>365</v>
      </c>
    </row>
    <row r="9" spans="1:33" ht="18" customHeight="1">
      <c r="A9" s="786"/>
      <c r="B9" s="3445"/>
      <c r="C9" s="788"/>
      <c r="D9" s="789"/>
      <c r="E9" s="784" t="s">
        <v>1741</v>
      </c>
      <c r="F9" s="794">
        <f ca="1">INDIRECT("'数据-取费表'!w"&amp;$G$1)</f>
        <v>0.05</v>
      </c>
      <c r="G9" s="1579"/>
      <c r="H9" s="2470"/>
      <c r="I9" s="3444"/>
      <c r="J9" s="788"/>
      <c r="K9" s="789"/>
      <c r="L9" s="795" t="s">
        <v>1741</v>
      </c>
      <c r="M9" s="796">
        <f ca="1">INDIRECT("'数据-取费表'!ab"&amp;$G$1)</f>
        <v>0</v>
      </c>
    </row>
    <row r="10" spans="1:33" ht="18" customHeight="1">
      <c r="A10" s="1816" t="s">
        <v>2466</v>
      </c>
      <c r="B10" s="2459" t="s">
        <v>2459</v>
      </c>
      <c r="C10" s="799">
        <f ca="1">ROUND(IF(F10="押一",C6/12*F11,IF(F10="押二",C6/12*2*F11,IF(F10="押三",C6/12*3*F11,C11*F11))),0)</f>
        <v>11</v>
      </c>
      <c r="D10" s="2466" t="s">
        <v>2972</v>
      </c>
      <c r="E10" s="2463" t="s">
        <v>2464</v>
      </c>
      <c r="F10" s="2586" t="s">
        <v>3082</v>
      </c>
      <c r="G10" s="1579"/>
      <c r="H10" s="2526" t="s">
        <v>2469</v>
      </c>
      <c r="I10" s="2531" t="s">
        <v>2459</v>
      </c>
      <c r="J10" s="783">
        <f ca="1">ROUND(IF(M10="押一",J6/12*M11,IF(M10="押二",J6/12*2*M11,IF(M10="押三",J6/12*3*M11,J11*M11))),0)</f>
        <v>0</v>
      </c>
      <c r="K10" s="2466" t="s">
        <v>2972</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20377</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13457</v>
      </c>
      <c r="D14" s="1965" t="s">
        <v>1745</v>
      </c>
      <c r="E14" s="1966"/>
      <c r="F14" s="805"/>
      <c r="G14" s="1579"/>
      <c r="H14" s="1635" t="s">
        <v>1830</v>
      </c>
      <c r="I14" s="2217" t="s">
        <v>2825</v>
      </c>
      <c r="J14" s="53">
        <f ca="1">C29</f>
        <v>20377</v>
      </c>
      <c r="K14" s="26"/>
      <c r="L14" s="801"/>
      <c r="M14" s="802"/>
    </row>
    <row r="15" spans="1:33" s="2050" customFormat="1" ht="18" customHeight="1" thickBot="1">
      <c r="A15" s="1634" t="s">
        <v>1885</v>
      </c>
      <c r="B15" s="784" t="s">
        <v>647</v>
      </c>
      <c r="C15" s="53">
        <f ca="1">ROUND(C14*F15,0)</f>
        <v>404</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2021</v>
      </c>
      <c r="K16" s="1807" t="s">
        <v>1750</v>
      </c>
      <c r="L16" s="2451"/>
      <c r="M16" s="2456"/>
    </row>
    <row r="17" spans="1:33" s="2050" customFormat="1" ht="18" customHeight="1">
      <c r="A17" s="1634" t="s">
        <v>1887</v>
      </c>
      <c r="B17" s="784" t="s">
        <v>653</v>
      </c>
      <c r="C17" s="53">
        <f ca="1">ROUND(F17*(F43+INDIRECT("'数据-取费表'!S"&amp;$G$1))/10000,0)</f>
        <v>897</v>
      </c>
      <c r="D17" s="784" t="s">
        <v>1751</v>
      </c>
      <c r="E17" s="784" t="s">
        <v>1752</v>
      </c>
      <c r="F17" s="56">
        <f>'数据-取费表'!B35</f>
        <v>200</v>
      </c>
      <c r="G17" s="1580"/>
      <c r="H17" s="1635" t="s">
        <v>1830</v>
      </c>
      <c r="I17" s="784" t="s">
        <v>656</v>
      </c>
      <c r="J17" s="53">
        <f ca="1">ROUND(IF(项目基本情况!B11="自然人",J5*M17,J18+J19+J20),0)</f>
        <v>1715</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202</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14960</v>
      </c>
      <c r="D19" s="261" t="s">
        <v>1757</v>
      </c>
      <c r="E19" s="1968"/>
      <c r="F19" s="56"/>
      <c r="G19" s="1579"/>
      <c r="H19" s="1634" t="s">
        <v>1885</v>
      </c>
      <c r="I19" s="784" t="s">
        <v>1758</v>
      </c>
      <c r="J19" s="53">
        <f ca="1">IF(K19="按租金收入计税",ROUND(J5*M19,1),ROUND(C29*F33*0.7,1))</f>
        <v>1711.7</v>
      </c>
      <c r="K19" s="811" t="s">
        <v>665</v>
      </c>
      <c r="L19" s="784" t="s">
        <v>1747</v>
      </c>
      <c r="M19" s="809">
        <f>IF(K19="按租金收入计税",'数据-取费表'!B51,'数据-取费表'!B50)</f>
        <v>1.2E-2</v>
      </c>
    </row>
    <row r="20" spans="1:33" s="2050" customFormat="1" ht="18" customHeight="1">
      <c r="A20" s="1635" t="s">
        <v>1889</v>
      </c>
      <c r="B20" s="784" t="s">
        <v>666</v>
      </c>
      <c r="C20" s="53">
        <f ca="1">ROUND(C19*F20,0)</f>
        <v>299</v>
      </c>
      <c r="D20" s="812" t="s">
        <v>1759</v>
      </c>
      <c r="E20" s="784" t="s">
        <v>1747</v>
      </c>
      <c r="F20" s="809">
        <f>'数据-取费表'!B37</f>
        <v>0.02</v>
      </c>
      <c r="G20" s="1580"/>
      <c r="H20" s="1637" t="s">
        <v>1880</v>
      </c>
      <c r="I20" s="341" t="s">
        <v>1760</v>
      </c>
      <c r="J20" s="54">
        <f ca="1">ROUND(M20*M21/10000,0)</f>
        <v>3</v>
      </c>
      <c r="K20" s="814" t="s">
        <v>1761</v>
      </c>
      <c r="L20" s="784" t="s">
        <v>1762</v>
      </c>
      <c r="M20" s="640">
        <f>'数据-取费表'!B52</f>
        <v>3</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0.01</v>
      </c>
      <c r="G21" s="1580"/>
      <c r="H21" s="2471"/>
      <c r="I21" s="793"/>
      <c r="J21" s="69"/>
      <c r="K21" s="816"/>
      <c r="L21" s="784" t="s">
        <v>1766</v>
      </c>
      <c r="M21" s="785">
        <f ca="1">INDIRECT("'数据-取费表'!r"&amp;$G$1)</f>
        <v>10870.86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306</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725</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5.0000000000000001E-4</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2821</v>
      </c>
      <c r="J25" s="792">
        <f ca="1">J5-J16</f>
        <v>-2021</v>
      </c>
      <c r="K25" s="2513" t="s">
        <v>1777</v>
      </c>
      <c r="L25" s="2514"/>
      <c r="M25" s="2515"/>
    </row>
    <row r="26" spans="1:33" ht="18" customHeight="1">
      <c r="A26" s="1634" t="s">
        <v>1831</v>
      </c>
      <c r="B26" s="784" t="s">
        <v>2438</v>
      </c>
      <c r="C26" s="53">
        <f ca="1">ROUND((C19+C20)*F26,0)</f>
        <v>3052</v>
      </c>
      <c r="D26" s="812" t="s">
        <v>1778</v>
      </c>
      <c r="E26" s="795" t="s">
        <v>1779</v>
      </c>
      <c r="F26" s="794">
        <f ca="1">INDIRECT("'数据-取费表'!q"&amp;$G$1)</f>
        <v>0.2</v>
      </c>
      <c r="G26" s="1579"/>
      <c r="H26" s="2467" t="s">
        <v>1780</v>
      </c>
      <c r="I26" s="2218" t="s">
        <v>2826</v>
      </c>
      <c r="J26" s="783">
        <f ca="1">IF(J5&lt;&gt;0,ROUND(J25*(1-((1+M28)/(1+M26))^M27)/(M26-M28),0),0)</f>
        <v>0</v>
      </c>
      <c r="K26" s="814" t="s">
        <v>1781</v>
      </c>
      <c r="L26" s="784" t="s">
        <v>2419</v>
      </c>
      <c r="M26" s="794">
        <f ca="1">INDIRECT("'数据-取费表'!I"&amp;$G$1)</f>
        <v>0.05</v>
      </c>
    </row>
    <row r="27" spans="1:33" ht="18" customHeight="1">
      <c r="A27" s="1634" t="s">
        <v>1832</v>
      </c>
      <c r="B27" s="784" t="s">
        <v>686</v>
      </c>
      <c r="C27" s="53">
        <f ca="1">ROUND(F21*F26,4)</f>
        <v>2E-3</v>
      </c>
      <c r="D27" s="812" t="s">
        <v>1782</v>
      </c>
      <c r="E27" s="806"/>
      <c r="F27" s="807"/>
      <c r="G27" s="1579"/>
      <c r="H27" s="2468"/>
      <c r="I27" s="787"/>
      <c r="J27" s="788"/>
      <c r="K27" s="821" t="s">
        <v>1783</v>
      </c>
      <c r="L27" s="784" t="s">
        <v>1784</v>
      </c>
      <c r="M27" s="822">
        <f ca="1">INDIRECT("'数据-取费表'!ag"&amp;$G$1)</f>
        <v>50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20377</v>
      </c>
      <c r="D29" s="2510"/>
      <c r="E29" s="2511"/>
      <c r="F29" s="2512"/>
      <c r="G29" s="1580"/>
      <c r="H29" s="823" t="s">
        <v>1787</v>
      </c>
      <c r="I29" s="824" t="s">
        <v>1788</v>
      </c>
      <c r="J29" s="825">
        <f ca="1">ROUND(J26/(1+F40)^F41,0)</f>
        <v>0</v>
      </c>
      <c r="K29" s="826" t="s">
        <v>1789</v>
      </c>
      <c r="L29" s="827"/>
      <c r="M29" s="828">
        <f ca="1">INDIRECT("'数据-取费表'!k"&amp;$G$1)</f>
        <v>44858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1939</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1515.1</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465.2</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1046.5999999999999</v>
      </c>
      <c r="D33" s="811" t="s">
        <v>3103</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3.3</v>
      </c>
      <c r="D34" s="814" t="s">
        <v>1799</v>
      </c>
      <c r="E34" s="784" t="s">
        <v>1800</v>
      </c>
      <c r="F34" s="640">
        <f>'数据-取费表'!B52</f>
        <v>3</v>
      </c>
      <c r="G34" s="2048"/>
      <c r="H34" s="2051"/>
      <c r="I34" s="835" t="s">
        <v>1813</v>
      </c>
      <c r="J34" s="836"/>
      <c r="K34" s="2066"/>
      <c r="L34" s="2065"/>
      <c r="M34" s="2065"/>
    </row>
    <row r="35" spans="1:18" ht="18" customHeight="1">
      <c r="A35" s="815"/>
      <c r="B35" s="793"/>
      <c r="C35" s="69"/>
      <c r="D35" s="816"/>
      <c r="E35" s="784" t="s">
        <v>1801</v>
      </c>
      <c r="F35" s="785">
        <f ca="1">INDIRECT("'数据-取费表'!r"&amp;$G$1)</f>
        <v>10870.86</v>
      </c>
      <c r="G35" s="2048"/>
      <c r="H35" s="2051"/>
      <c r="I35" s="837" t="s">
        <v>1814</v>
      </c>
      <c r="J35" s="838">
        <f ca="1">ROUND(C13*J36,0)</f>
        <v>1426</v>
      </c>
      <c r="K35" s="2064"/>
      <c r="L35" s="2063"/>
      <c r="M35" s="2063"/>
    </row>
    <row r="36" spans="1:18" ht="18" customHeight="1">
      <c r="A36" s="1635" t="s">
        <v>1889</v>
      </c>
      <c r="B36" s="784" t="s">
        <v>1802</v>
      </c>
      <c r="C36" s="53">
        <f ca="1">ROUND(C29*F36,1)</f>
        <v>305.7</v>
      </c>
      <c r="D36" s="1963" t="s">
        <v>1803</v>
      </c>
      <c r="E36" s="784" t="s">
        <v>1796</v>
      </c>
      <c r="F36" s="817">
        <f ca="1">INDIRECT("'数据-取费表'!Ak"&amp;$G$1)</f>
        <v>1.4999999999999999E-2</v>
      </c>
      <c r="G36" s="2048"/>
      <c r="H36" s="2063"/>
      <c r="I36" s="839" t="s">
        <v>1815</v>
      </c>
      <c r="J36" s="840">
        <f ca="1">INDIRECT("'数据-取费表'!j"&amp;$G$1)</f>
        <v>7.0000000000000007E-2</v>
      </c>
      <c r="K36" s="2068"/>
      <c r="L36" s="2063"/>
      <c r="M36" s="2063"/>
    </row>
    <row r="37" spans="1:18" ht="18" customHeight="1">
      <c r="A37" s="1635" t="s">
        <v>1890</v>
      </c>
      <c r="B37" s="784" t="s">
        <v>679</v>
      </c>
      <c r="C37" s="53">
        <f ca="1">ROUND(C13*F37,1)</f>
        <v>30.6</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87.2</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2821</v>
      </c>
      <c r="C39" s="792">
        <f ca="1">C5-C30</f>
        <v>6783</v>
      </c>
      <c r="D39" s="2513" t="s">
        <v>1806</v>
      </c>
      <c r="E39" s="2514"/>
      <c r="F39" s="2515"/>
      <c r="G39" s="2048"/>
      <c r="H39" s="2063"/>
      <c r="I39" s="837" t="s">
        <v>1818</v>
      </c>
      <c r="J39" s="845">
        <f ca="1">ROUND(J35/C39,3)</f>
        <v>0.21</v>
      </c>
      <c r="K39" s="2069"/>
      <c r="L39" s="2063"/>
      <c r="M39" s="2063"/>
    </row>
    <row r="40" spans="1:18" ht="18" customHeight="1">
      <c r="A40" s="781" t="s">
        <v>1895</v>
      </c>
      <c r="B40" s="2218" t="s">
        <v>2301</v>
      </c>
      <c r="C40" s="783">
        <f ca="1">ROUND(C39*(1-((1+F42)/(1+F40))^F41)/(F40-F42),0)</f>
        <v>123830</v>
      </c>
      <c r="D40" s="814" t="s">
        <v>1807</v>
      </c>
      <c r="E40" s="784" t="s">
        <v>2419</v>
      </c>
      <c r="F40" s="794">
        <f ca="1">INDIRECT("'数据-取费表'!I"&amp;$G$1)</f>
        <v>0.05</v>
      </c>
      <c r="G40" s="2048"/>
      <c r="H40" s="2048"/>
      <c r="I40" s="837" t="s">
        <v>1819</v>
      </c>
      <c r="J40" s="845">
        <f ca="1">1-J39</f>
        <v>0.79</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50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f ca="1">ROUND(C13/C40,3)</f>
        <v>0.16500000000000001</v>
      </c>
      <c r="K42" s="2068"/>
      <c r="L42" s="1974"/>
      <c r="M42" s="1974"/>
    </row>
    <row r="43" spans="1:18" ht="18" customHeight="1" thickBot="1">
      <c r="A43" s="823" t="s">
        <v>1787</v>
      </c>
      <c r="B43" s="824" t="s">
        <v>1810</v>
      </c>
      <c r="C43" s="825">
        <f ca="1">ROUND(C40*10000/F43,0)</f>
        <v>27605</v>
      </c>
      <c r="D43" s="826" t="s">
        <v>1811</v>
      </c>
      <c r="E43" s="827" t="s">
        <v>1812</v>
      </c>
      <c r="F43" s="828">
        <f ca="1">INDIRECT("'数据-取费表'!k"&amp;$G$1)</f>
        <v>44858</v>
      </c>
      <c r="G43" s="2048"/>
      <c r="H43" s="1974"/>
      <c r="I43" s="847" t="s">
        <v>1822</v>
      </c>
      <c r="J43" s="848">
        <f ca="1">1-J42</f>
        <v>0.83499999999999996</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-130037</v>
      </c>
      <c r="D46" s="2071"/>
      <c r="E46" s="2071"/>
      <c r="F46" s="2071"/>
      <c r="I46" s="2343" t="s">
        <v>2343</v>
      </c>
      <c r="J46" s="2344"/>
      <c r="K46" s="2345"/>
      <c r="L46" s="3109"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t="s">
        <v>3025</v>
      </c>
      <c r="K47" s="3106" t="s">
        <v>2349</v>
      </c>
      <c r="L47" s="3110">
        <f ca="1">INDIRECT("'数据-取费表'!d"&amp;$G$1)</f>
        <v>50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t="s">
        <v>2350</v>
      </c>
      <c r="K48" s="3107" t="s">
        <v>2351</v>
      </c>
      <c r="L48" s="1894">
        <f ca="1">INDIRECT("'数据-取费表'!f"&amp;$G$1)</f>
        <v>50</v>
      </c>
      <c r="O48" s="2363" t="s">
        <v>2379</v>
      </c>
      <c r="P48" s="2364" t="s">
        <v>2405</v>
      </c>
      <c r="Q48" s="2365">
        <f ca="1">C40+J29</f>
        <v>123830</v>
      </c>
      <c r="R48" s="2364" t="s">
        <v>2380</v>
      </c>
    </row>
    <row r="49" spans="1:18" s="2045" customFormat="1" ht="18" customHeight="1" thickBot="1">
      <c r="A49" s="786"/>
      <c r="B49" s="787"/>
      <c r="C49" s="788"/>
      <c r="D49" s="789"/>
      <c r="E49" s="784" t="s">
        <v>1739</v>
      </c>
      <c r="F49" s="785">
        <f ca="1">F7</f>
        <v>44858</v>
      </c>
      <c r="G49" s="2076"/>
      <c r="H49" s="2079"/>
      <c r="I49" s="3078" t="s">
        <v>2346</v>
      </c>
      <c r="J49" s="2348"/>
      <c r="K49" s="3108"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8" t="s">
        <v>2347</v>
      </c>
      <c r="J50" s="3103">
        <f>SUMPRODUCT((I63:I65=J47)*(J62:L62=J48)*(J63:L65))</f>
        <v>60</v>
      </c>
      <c r="K50" s="3108" t="s">
        <v>2353</v>
      </c>
      <c r="L50" s="2349"/>
      <c r="O50" s="2366" t="s">
        <v>2383</v>
      </c>
      <c r="P50" s="2364" t="s">
        <v>2407</v>
      </c>
      <c r="Q50" s="2365">
        <f ca="1">C29</f>
        <v>20377</v>
      </c>
      <c r="R50" s="2364" t="s">
        <v>2380</v>
      </c>
    </row>
    <row r="51" spans="1:18" s="2045" customFormat="1" ht="18" customHeight="1" thickBot="1">
      <c r="A51" s="786"/>
      <c r="B51" s="787"/>
      <c r="C51" s="788"/>
      <c r="D51" s="789"/>
      <c r="E51" s="784" t="s">
        <v>640</v>
      </c>
      <c r="F51" s="2336"/>
      <c r="H51" s="2079"/>
      <c r="I51" s="3100" t="s">
        <v>2348</v>
      </c>
      <c r="J51" s="3104">
        <f>IF(J49="",J50,J49+J50-YEAR('数据-取费表'!B2))</f>
        <v>60</v>
      </c>
      <c r="K51" s="3078" t="s">
        <v>2354</v>
      </c>
      <c r="L51" s="3111">
        <f ca="1">ROUND(-PV(INDIRECT("'数据-取费表'!h"&amp;$G$1),L48,(C39-C13*J36),0),0)</f>
        <v>115072</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2973</v>
      </c>
      <c r="E52" s="2463" t="s">
        <v>2464</v>
      </c>
      <c r="F52" s="2586"/>
      <c r="I52" s="3101" t="s">
        <v>2421</v>
      </c>
      <c r="J52" s="2350"/>
      <c r="K52" s="3101"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2" t="s">
        <v>2976</v>
      </c>
      <c r="J53" s="3105">
        <f ca="1">IF(M47="住宅",IF(D1="——",MAX(J51,L48),MAX(J51,L48-'数据-取费表'!B20)),IF(D1="——",MIN(J51,L48),MIN(J51,L48-'数据-取费表'!B20)))</f>
        <v>50</v>
      </c>
      <c r="K53" s="3440" t="s">
        <v>2964</v>
      </c>
      <c r="L53" s="3441"/>
      <c r="O53" s="2366" t="s">
        <v>2388</v>
      </c>
      <c r="P53" s="2364" t="s">
        <v>2389</v>
      </c>
      <c r="Q53" s="2365">
        <f ca="1">J53</f>
        <v>50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123830</v>
      </c>
      <c r="R54" s="2368" t="s">
        <v>2392</v>
      </c>
    </row>
    <row r="55" spans="1:18" s="2045" customFormat="1" ht="18" customHeight="1" thickTop="1" thickBot="1">
      <c r="A55" s="797">
        <v>2</v>
      </c>
      <c r="B55" s="798" t="s">
        <v>644</v>
      </c>
      <c r="C55" s="799">
        <f ca="1">C13</f>
        <v>20377</v>
      </c>
      <c r="D55" s="795"/>
      <c r="E55" s="795"/>
      <c r="F55" s="800"/>
      <c r="I55" s="3114" t="s">
        <v>2355</v>
      </c>
      <c r="J55" s="3053" t="e">
        <f ca="1">ROUND(IF(J47="钢混",J57/J50,1-(1-2%)*(J50-J57)/J50),3)</f>
        <v>#VALUE!</v>
      </c>
      <c r="K55" s="3115" t="s">
        <v>2356</v>
      </c>
      <c r="L55" s="2351"/>
      <c r="O55" s="2369" t="s">
        <v>2411</v>
      </c>
      <c r="P55" s="1579"/>
      <c r="Q55" s="1590"/>
      <c r="R55" s="1579"/>
    </row>
    <row r="56" spans="1:18" s="2045" customFormat="1" ht="42.75" customHeight="1" thickBot="1">
      <c r="A56" s="1636"/>
      <c r="B56" s="2217" t="s">
        <v>2302</v>
      </c>
      <c r="C56" s="53">
        <f ca="1">C29</f>
        <v>20377</v>
      </c>
      <c r="D56" s="2604"/>
      <c r="E56" s="784"/>
      <c r="F56" s="809"/>
      <c r="I56" s="3116" t="s">
        <v>2357</v>
      </c>
      <c r="J56" s="3126" t="s">
        <v>1678</v>
      </c>
      <c r="K56" s="3078"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340</v>
      </c>
      <c r="D57" s="26" t="s">
        <v>1750</v>
      </c>
      <c r="E57" s="2605"/>
      <c r="F57" s="56"/>
      <c r="I57" s="3117" t="s">
        <v>2358</v>
      </c>
      <c r="J57" s="3118" t="str">
        <f ca="1">IF(OR(M47="住宅",J51&lt;L48,J56="是"),"——",J51-L48)</f>
        <v>——</v>
      </c>
      <c r="K57" s="3078" t="s">
        <v>2363</v>
      </c>
      <c r="L57" s="1894" t="str">
        <f ca="1">IF(L48&lt;J51,"——",IF(L55="比较法",L49,IF(L55="基准地价",L50,L51)))</f>
        <v>——</v>
      </c>
      <c r="O57" s="2363" t="s">
        <v>2379</v>
      </c>
      <c r="P57" s="2364" t="s">
        <v>2409</v>
      </c>
      <c r="Q57" s="2365">
        <f ca="1">C40+J29</f>
        <v>123830</v>
      </c>
      <c r="R57" s="2364" t="s">
        <v>2380</v>
      </c>
    </row>
    <row r="58" spans="1:18" s="2045" customFormat="1" ht="28.5" customHeight="1" thickBot="1">
      <c r="A58" s="1635" t="s">
        <v>1824</v>
      </c>
      <c r="B58" s="784" t="s">
        <v>656</v>
      </c>
      <c r="C58" s="53">
        <f ca="1">ROUND(IF(项目基本情况!B11="自然人",C47*F58,C59+C60+C61),1)</f>
        <v>3.3</v>
      </c>
      <c r="D58" s="2603" t="s">
        <v>657</v>
      </c>
      <c r="E58" s="2604" t="s">
        <v>690</v>
      </c>
      <c r="F58" s="810" t="str">
        <f ca="1">IF(项目基本情况!B11="企业","",IF(INDIRECT("'数据-取费表'!c"&amp;$G$1)="住宅",5%,IF(F48*F49*F50/12/(1+'数据-取费表'!C42)&gt;20000,12%,7%)))</f>
        <v/>
      </c>
      <c r="I58" s="3117" t="s">
        <v>2359</v>
      </c>
      <c r="J58" s="3054" t="e">
        <f ca="1">IF(J55&lt;0.4,0.4,J55)</f>
        <v>#VALUE!</v>
      </c>
      <c r="K58" s="3078"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2360</v>
      </c>
      <c r="J59" s="3118" t="str">
        <f ca="1">IF(OR(M47="住宅",J51&lt;L48,J56="是"),"——",ROUND(C29*J58,0))</f>
        <v>——</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2361</v>
      </c>
      <c r="J60" s="3120" t="str">
        <f ca="1">IF(OR(M47="住宅",J51&lt;L48,J56="是"),"0",ROUND(J59/(1+J52)^J53,0))</f>
        <v>0</v>
      </c>
      <c r="K60" s="3121" t="s">
        <v>2366</v>
      </c>
      <c r="L60" s="3120">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3.3</v>
      </c>
      <c r="D61" s="814" t="s">
        <v>669</v>
      </c>
      <c r="E61" s="784" t="s">
        <v>670</v>
      </c>
      <c r="F61" s="640">
        <f t="shared" si="0"/>
        <v>3</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10870.86</v>
      </c>
      <c r="I62" s="3122" t="s">
        <v>2367</v>
      </c>
      <c r="J62" s="3123" t="s">
        <v>2368</v>
      </c>
      <c r="K62" s="3123" t="s">
        <v>2369</v>
      </c>
      <c r="L62" s="3123" t="s">
        <v>2350</v>
      </c>
      <c r="M62" s="3124" t="s">
        <v>2940</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305.7</v>
      </c>
      <c r="D63" s="2604" t="s">
        <v>1803</v>
      </c>
      <c r="E63" s="784" t="s">
        <v>1747</v>
      </c>
      <c r="F63" s="817">
        <f t="shared" ca="1" si="0"/>
        <v>1.4999999999999999E-2</v>
      </c>
      <c r="I63" s="3122" t="s">
        <v>2370</v>
      </c>
      <c r="J63" s="3123">
        <v>70</v>
      </c>
      <c r="K63" s="3123">
        <v>50</v>
      </c>
      <c r="L63" s="3123">
        <v>80</v>
      </c>
      <c r="M63" s="3125">
        <v>0.02</v>
      </c>
      <c r="O63" s="2363" t="s">
        <v>2391</v>
      </c>
      <c r="P63" s="2364" t="s">
        <v>2408</v>
      </c>
      <c r="Q63" s="2365">
        <f ca="1">Q57+Q58</f>
        <v>123830</v>
      </c>
      <c r="R63" s="2368" t="s">
        <v>2392</v>
      </c>
    </row>
    <row r="64" spans="1:18" s="2045" customFormat="1" ht="16.5" thickBot="1">
      <c r="A64" s="1635" t="s">
        <v>1890</v>
      </c>
      <c r="B64" s="784" t="s">
        <v>679</v>
      </c>
      <c r="C64" s="53">
        <f ca="1">ROUND(C55*F64,1)</f>
        <v>30.6</v>
      </c>
      <c r="D64" s="2604" t="s">
        <v>680</v>
      </c>
      <c r="E64" s="784" t="s">
        <v>1747</v>
      </c>
      <c r="F64" s="818">
        <f t="shared" ca="1" si="0"/>
        <v>1.5E-3</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2821</v>
      </c>
      <c r="C66" s="799">
        <f ca="1">C47-C57</f>
        <v>-340</v>
      </c>
      <c r="D66" s="2603" t="s">
        <v>700</v>
      </c>
      <c r="E66" s="2602"/>
      <c r="F66" s="820"/>
      <c r="K66" s="2072"/>
      <c r="O66" s="2363" t="s">
        <v>2379</v>
      </c>
      <c r="P66" s="2364" t="s">
        <v>2409</v>
      </c>
      <c r="Q66" s="2365">
        <f ca="1">C40+J29</f>
        <v>123830</v>
      </c>
      <c r="R66" s="2364" t="s">
        <v>2380</v>
      </c>
    </row>
    <row r="67" spans="1:18" s="2045" customFormat="1" ht="20.25" thickBot="1">
      <c r="A67" s="781" t="s">
        <v>1780</v>
      </c>
      <c r="B67" s="2218" t="s">
        <v>2301</v>
      </c>
      <c r="C67" s="783">
        <f ca="1">ROUND(C66*(1-((1+F69)/(1+F67))^F68)/(F67-F69),0)</f>
        <v>-6207</v>
      </c>
      <c r="D67" s="814" t="s">
        <v>704</v>
      </c>
      <c r="E67" s="784" t="s">
        <v>705</v>
      </c>
      <c r="F67" s="794">
        <f ca="1">F40</f>
        <v>0.05</v>
      </c>
      <c r="K67" s="2072"/>
      <c r="O67" s="2363" t="s">
        <v>2381</v>
      </c>
      <c r="P67" s="2364" t="s">
        <v>2412</v>
      </c>
      <c r="Q67" s="2365">
        <f ca="1">L60</f>
        <v>0</v>
      </c>
      <c r="R67" s="2368" t="s">
        <v>2414</v>
      </c>
    </row>
    <row r="68" spans="1:18" ht="21.75" thickBot="1">
      <c r="A68" s="786"/>
      <c r="B68" s="787"/>
      <c r="C68" s="788"/>
      <c r="D68" s="821" t="s">
        <v>1808</v>
      </c>
      <c r="E68" s="784" t="s">
        <v>1784</v>
      </c>
      <c r="F68" s="822">
        <f ca="1">F41</f>
        <v>50</v>
      </c>
      <c r="O68" s="2366" t="s">
        <v>2383</v>
      </c>
      <c r="P68" s="2364" t="s">
        <v>2413</v>
      </c>
      <c r="Q68" s="2370">
        <f ca="1">L51</f>
        <v>115072</v>
      </c>
      <c r="R68" s="2371" t="s">
        <v>2416</v>
      </c>
    </row>
    <row r="69" spans="1:18" ht="20.25" thickBot="1">
      <c r="A69" s="790"/>
      <c r="B69" s="791"/>
      <c r="C69" s="792"/>
      <c r="D69" s="816"/>
      <c r="E69" s="784" t="s">
        <v>710</v>
      </c>
      <c r="F69" s="2336"/>
      <c r="O69" s="2366" t="s">
        <v>2384</v>
      </c>
      <c r="P69" s="2372" t="s">
        <v>2398</v>
      </c>
      <c r="Q69" s="2365">
        <f ca="1">ROUND(Q70-Q71*Q72,0)</f>
        <v>5357</v>
      </c>
      <c r="R69" s="2368"/>
    </row>
    <row r="70" spans="1:18" ht="15.75" thickBot="1">
      <c r="A70" s="823" t="s">
        <v>1787</v>
      </c>
      <c r="B70" s="824" t="s">
        <v>1810</v>
      </c>
      <c r="C70" s="825">
        <f ca="1">ROUND(C67*10000/F70,0)</f>
        <v>-1384</v>
      </c>
      <c r="D70" s="826" t="s">
        <v>1811</v>
      </c>
      <c r="E70" s="827" t="s">
        <v>1812</v>
      </c>
      <c r="F70" s="828">
        <f ca="1">F43</f>
        <v>44858</v>
      </c>
      <c r="O70" s="2366" t="s">
        <v>2399</v>
      </c>
      <c r="P70" s="2372" t="s">
        <v>2400</v>
      </c>
      <c r="Q70" s="2365">
        <f ca="1">C39</f>
        <v>6783</v>
      </c>
      <c r="R70" s="2364" t="s">
        <v>2380</v>
      </c>
    </row>
    <row r="71" spans="1:18" ht="15.75" thickBot="1">
      <c r="O71" s="2366" t="s">
        <v>2401</v>
      </c>
      <c r="P71" s="2372" t="s">
        <v>2402</v>
      </c>
      <c r="Q71" s="2365">
        <f ca="1">C13</f>
        <v>20377</v>
      </c>
      <c r="R71" s="2364" t="s">
        <v>2380</v>
      </c>
    </row>
    <row r="72" spans="1:18" ht="15.75" thickBot="1">
      <c r="O72" s="2366" t="s">
        <v>2403</v>
      </c>
      <c r="P72" s="2372" t="s">
        <v>2404</v>
      </c>
      <c r="Q72" s="2367">
        <f ca="1">J36</f>
        <v>7.0000000000000007E-2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f ca="1">Q66+Q67</f>
        <v>123830</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R118"/>
  <sheetViews>
    <sheetView topLeftCell="A42" zoomScale="80" zoomScaleNormal="80" workbookViewId="0">
      <selection activeCell="F39" sqref="F3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44858</v>
      </c>
      <c r="E1" s="1403" t="s">
        <v>2427</v>
      </c>
      <c r="F1" s="2417">
        <f>'数据-基础表'!A3</f>
        <v>12883</v>
      </c>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920</v>
      </c>
      <c r="B2" s="1038">
        <f ca="1">C26</f>
        <v>58154</v>
      </c>
      <c r="C2" s="1404" t="s">
        <v>921</v>
      </c>
      <c r="D2" s="1405" t="s">
        <v>922</v>
      </c>
      <c r="E2" s="1406" t="s">
        <v>1677</v>
      </c>
      <c r="F2" s="1405" t="s">
        <v>924</v>
      </c>
      <c r="G2" s="1638" t="str">
        <f>IF(E2="商业",项目基本情况!B43,IF(E2="办公",项目基本情况!C43,IF(E2="住宅",项目基本情况!D43,项目基本情况!E43)))</f>
        <v>六级</v>
      </c>
      <c r="H2" s="1405" t="s">
        <v>926</v>
      </c>
      <c r="I2" s="1639" t="str">
        <f>IF(E2="商业",项目基本情况!B44,IF(E2="办公",项目基本情况!C44,IF(E2="住宅",项目基本情况!D44,项目基本情况!E44)))</f>
        <v>Ⅵ-09</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1.8629</v>
      </c>
      <c r="T2" s="2893">
        <f ca="1">ROUND($C$5*$C$18*$C$19*$C$20*S2*$C$24,0)</f>
        <v>26855</v>
      </c>
      <c r="U2" s="2882"/>
      <c r="V2" s="2893">
        <f ca="1">ROUND(T2*U2/10000,0)</f>
        <v>0</v>
      </c>
      <c r="W2" s="2175"/>
      <c r="X2" s="2175"/>
      <c r="Y2" s="2175"/>
      <c r="Z2" s="2175"/>
      <c r="AA2" s="2175"/>
      <c r="AB2" s="2175"/>
      <c r="AC2" s="2176"/>
    </row>
    <row r="3" spans="1:39" ht="24">
      <c r="A3" s="1408" t="s">
        <v>1687</v>
      </c>
      <c r="B3" s="1038">
        <f ca="1">ROUND(B2*10000/D1,0)</f>
        <v>12964</v>
      </c>
      <c r="C3" s="1404" t="s">
        <v>927</v>
      </c>
      <c r="D3" s="1405" t="s">
        <v>928</v>
      </c>
      <c r="E3" s="1409" t="s">
        <v>3004</v>
      </c>
      <c r="F3" s="1410" t="s">
        <v>3081</v>
      </c>
      <c r="G3" s="1039">
        <f>IF(F3="宗地容积率",'数据-汇总表'!I4,IF(F3="估价对象容积率",'数据-汇总表'!I6,'数据-汇总表'!I7))</f>
        <v>3.5</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1.3371999999999999</v>
      </c>
      <c r="T3" s="2893">
        <f t="shared" ref="T3:T16" ca="1" si="0">ROUND($C$5*$C$18*$C$19*$C$20*S3*$C$24,0)</f>
        <v>19277</v>
      </c>
      <c r="U3" s="2882"/>
      <c r="V3" s="2893">
        <f t="shared" ref="V3:V16" ca="1" si="1">ROUND(T3*U3/10000,0)</f>
        <v>0</v>
      </c>
      <c r="W3" s="2175"/>
      <c r="X3" s="2175"/>
      <c r="Y3" s="2175"/>
      <c r="Z3" s="2175"/>
      <c r="AA3" s="2175"/>
      <c r="AB3" s="2175"/>
      <c r="AC3" s="2176"/>
    </row>
    <row r="4" spans="1:39" ht="28.5">
      <c r="A4" s="1877" t="s">
        <v>2280</v>
      </c>
      <c r="B4" s="2418">
        <f ca="1">ROUND(B2*10000/F1,0)</f>
        <v>45140</v>
      </c>
      <c r="C4" s="1880" t="s">
        <v>2254</v>
      </c>
      <c r="D4" s="1880">
        <f ca="1">ROUND(B2/(F1/666.67),0)</f>
        <v>3009</v>
      </c>
      <c r="E4" s="1880" t="s">
        <v>2255</v>
      </c>
      <c r="F4" s="1878"/>
      <c r="G4" s="1878"/>
      <c r="H4" s="1878"/>
      <c r="I4" s="1878"/>
      <c r="J4" s="1879"/>
      <c r="K4" s="3153"/>
      <c r="L4" s="1871" t="s">
        <v>2241</v>
      </c>
      <c r="M4" s="1872">
        <f>SUMPRODUCT((区片价!B49:B75=I2)*(区片价!C3:F3=E2)*(区片价!C49:F75))</f>
        <v>0</v>
      </c>
      <c r="N4" s="1873">
        <f>SUMPRODUCT((因素修正幅度!B49:B75=I2)*(因素修正幅度!C3:F3=E2)*(因素修正幅度!C49:F75))</f>
        <v>0</v>
      </c>
      <c r="O4" s="3153"/>
      <c r="P4" s="1398"/>
      <c r="Q4" s="2175"/>
      <c r="R4" s="2893">
        <v>3</v>
      </c>
      <c r="S4" s="2893">
        <f>ROUND(IF(G3&gt;1,IF(R4&lt;7,SUMPRODUCT((B93:B98=R4)*(C92:N92=G2)*(C93:N98)),SUMIF(C92:N92,G2,C100:N100)),IF(R4&lt;7,SUMPRODUCT((B102:B107=R4)*(C92:N92=G2)*(C102:N107)),SUMIF(C92:N92,G2,C109:N109))),4)</f>
        <v>1.0788</v>
      </c>
      <c r="T4" s="2893">
        <f t="shared" ca="1" si="0"/>
        <v>15552</v>
      </c>
      <c r="U4" s="2882"/>
      <c r="V4" s="2893">
        <f t="shared" ca="1" si="1"/>
        <v>0</v>
      </c>
      <c r="W4" s="2175"/>
      <c r="X4" s="2175"/>
      <c r="Y4" s="2175"/>
      <c r="Z4" s="2175"/>
      <c r="AA4" s="2175"/>
      <c r="AB4" s="2175"/>
      <c r="AC4" s="2176"/>
    </row>
    <row r="5" spans="1:39" s="1418" customFormat="1" ht="15.75" thickBot="1">
      <c r="A5" s="1624" t="s">
        <v>1823</v>
      </c>
      <c r="B5" s="1412" t="s">
        <v>931</v>
      </c>
      <c r="C5" s="1041">
        <f>ROUND(IF(E2="商业",C6*C7+C16,(IF(E2="住宅",C6*C12+C16,C6+C16))),0)</f>
        <v>10050</v>
      </c>
      <c r="D5" s="3072">
        <f>ROUND(C6+C16,0)</f>
        <v>10050</v>
      </c>
      <c r="E5" s="3072"/>
      <c r="F5" s="1413"/>
      <c r="G5" s="1414"/>
      <c r="H5" s="1414"/>
      <c r="I5" s="1414"/>
      <c r="J5" s="1415"/>
      <c r="K5" s="3154"/>
      <c r="L5" s="1871" t="s">
        <v>2242</v>
      </c>
      <c r="M5" s="1872">
        <f>SUMPRODUCT((区片价!B76:B109=I2)*(区片价!C3:F3=E2)*(区片价!C76:F109))</f>
        <v>0</v>
      </c>
      <c r="N5" s="1873">
        <f>SUMPRODUCT((因素修正幅度!B76:B109=I2)*(因素修正幅度!C3:F3=E2)*(因素修正幅度!C76:F109))</f>
        <v>0</v>
      </c>
      <c r="O5" s="3154"/>
      <c r="P5" s="1581"/>
      <c r="Q5" s="2175"/>
      <c r="R5" s="2893">
        <v>4</v>
      </c>
      <c r="S5" s="2893">
        <f>ROUND(IF(G3&gt;1,IF(R5&lt;7,SUMPRODUCT((B93:B98=R5)*(C92:N92=G2)*(C93:N98)),SUMIF(C92:N92,G2,C100:N100)),IF(R5&lt;7,SUMPRODUCT((B102:B107=R5)*(C92:N92=G2)*(C102:N107)),SUMIF(C92:N92,G2,C109:N109))),4)</f>
        <v>0.86560000000000004</v>
      </c>
      <c r="T5" s="2893">
        <f t="shared" ca="1" si="0"/>
        <v>12478</v>
      </c>
      <c r="U5" s="2882"/>
      <c r="V5" s="2893">
        <f t="shared" ca="1" si="1"/>
        <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10050</v>
      </c>
      <c r="D6" s="1420" t="s">
        <v>1695</v>
      </c>
      <c r="E6" s="1421"/>
      <c r="F6" s="1421"/>
      <c r="G6" s="1422"/>
      <c r="H6" s="1422"/>
      <c r="I6" s="1422"/>
      <c r="J6" s="1423"/>
      <c r="K6" s="1453"/>
      <c r="L6" s="1871" t="s">
        <v>2243</v>
      </c>
      <c r="M6" s="1872">
        <f>SUMPRODUCT((区片价!B110:B157=I2)*(区片价!C3:F3=E2)*(区片价!C110:F157))</f>
        <v>10050</v>
      </c>
      <c r="N6" s="1873">
        <f>SUMPRODUCT((因素修正幅度!B110:B157=I2)*(因素修正幅度!C3:F3=E2)*(因素修正幅度!C110:F157))</f>
        <v>0.123</v>
      </c>
      <c r="O6" s="1453"/>
      <c r="P6" s="1582"/>
      <c r="Q6" s="2175"/>
      <c r="R6" s="2893">
        <v>5</v>
      </c>
      <c r="S6" s="2893">
        <f>ROUND(IF(G3&gt;1,IF(R6&lt;7,SUMPRODUCT((B93:B98=R6)*(C92:N92=G2)*(C93:N98)),SUMIF(C92:N92,G2,C100:N100)),IF(R6&lt;7,SUMPRODUCT((B102:B107=R6)*(C92:N92=G2)*(C102:N107)),SUMIF(C92:N92,G2,C109:N109))),4)</f>
        <v>0.73709999999999998</v>
      </c>
      <c r="T6" s="2893">
        <f t="shared" ca="1" si="0"/>
        <v>10626</v>
      </c>
      <c r="U6" s="2882"/>
      <c r="V6" s="2893">
        <f t="shared" ca="1" si="1"/>
        <v>0</v>
      </c>
      <c r="W6" s="2175"/>
      <c r="X6" s="2175"/>
      <c r="Y6" s="2175"/>
      <c r="Z6" s="2175"/>
      <c r="AA6" s="2175"/>
      <c r="AB6" s="2175"/>
      <c r="AC6" s="2177"/>
      <c r="AD6" s="1416"/>
      <c r="AE6" s="1416"/>
      <c r="AF6" s="1416"/>
      <c r="AG6" s="1416"/>
      <c r="AH6" s="1416"/>
      <c r="AI6" s="1416"/>
      <c r="AJ6" s="1417"/>
    </row>
    <row r="7" spans="1:39" ht="24">
      <c r="A7" s="3447"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0.6482</v>
      </c>
      <c r="T7" s="2893">
        <f t="shared" ca="1" si="0"/>
        <v>9344</v>
      </c>
      <c r="U7" s="2882"/>
      <c r="V7" s="2893">
        <f t="shared" ca="1" si="1"/>
        <v>0</v>
      </c>
      <c r="W7" s="2891" t="s">
        <v>2764</v>
      </c>
      <c r="X7" s="2883" t="str">
        <f>G2</f>
        <v>六级</v>
      </c>
      <c r="Y7" s="2883" t="s">
        <v>2765</v>
      </c>
      <c r="Z7" s="2884">
        <f>G3</f>
        <v>3.5</v>
      </c>
      <c r="AA7" s="2178"/>
      <c r="AB7" s="2178"/>
      <c r="AC7" s="2179"/>
      <c r="AD7" s="2885"/>
      <c r="AE7" s="2885"/>
      <c r="AF7" s="2885"/>
      <c r="AG7" s="2885"/>
      <c r="AH7" s="2885"/>
      <c r="AI7" s="2885"/>
      <c r="AJ7" s="2886"/>
    </row>
    <row r="8" spans="1:39" ht="15">
      <c r="A8" s="3448"/>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f t="shared" ca="1" si="0"/>
        <v>0</v>
      </c>
      <c r="U8" s="2882"/>
      <c r="V8" s="2893">
        <f t="shared" ca="1" si="1"/>
        <v>0</v>
      </c>
      <c r="W8" s="3458" t="s">
        <v>2782</v>
      </c>
      <c r="X8" s="3459"/>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48"/>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f t="shared" ca="1" si="0"/>
        <v>0</v>
      </c>
      <c r="U9" s="2882"/>
      <c r="V9" s="2893">
        <f t="shared" ca="1" si="1"/>
        <v>0</v>
      </c>
      <c r="W9" s="3457" t="s">
        <v>2778</v>
      </c>
      <c r="X9" s="2887" t="s">
        <v>2779</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48"/>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f t="shared" ca="1" si="0"/>
        <v>0</v>
      </c>
      <c r="U10" s="2882"/>
      <c r="V10" s="2893">
        <f t="shared" ca="1" si="1"/>
        <v>0</v>
      </c>
      <c r="W10" s="3457"/>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48"/>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f t="shared" ca="1" si="0"/>
        <v>0</v>
      </c>
      <c r="U11" s="2882"/>
      <c r="V11" s="2893">
        <f t="shared" ca="1" si="1"/>
        <v>0</v>
      </c>
      <c r="W11" s="3457" t="s">
        <v>2780</v>
      </c>
      <c r="X11" s="1048" t="s">
        <v>2765</v>
      </c>
      <c r="Y11" s="1639">
        <f>$G$3</f>
        <v>3.5</v>
      </c>
      <c r="Z11" s="1639">
        <f t="shared" ref="Z11:AJ11" si="3">$G$3</f>
        <v>3.5</v>
      </c>
      <c r="AA11" s="1639">
        <f t="shared" si="3"/>
        <v>3.5</v>
      </c>
      <c r="AB11" s="1639">
        <f t="shared" si="3"/>
        <v>3.5</v>
      </c>
      <c r="AC11" s="1639">
        <f t="shared" si="3"/>
        <v>3.5</v>
      </c>
      <c r="AD11" s="1639">
        <f t="shared" si="3"/>
        <v>3.5</v>
      </c>
      <c r="AE11" s="1639">
        <f t="shared" si="3"/>
        <v>3.5</v>
      </c>
      <c r="AF11" s="1639">
        <f t="shared" si="3"/>
        <v>3.5</v>
      </c>
      <c r="AG11" s="1639">
        <f t="shared" si="3"/>
        <v>3.5</v>
      </c>
      <c r="AH11" s="1639">
        <f t="shared" si="3"/>
        <v>3.5</v>
      </c>
      <c r="AI11" s="1639">
        <f t="shared" si="3"/>
        <v>3.5</v>
      </c>
      <c r="AJ11" s="1639">
        <f t="shared" si="3"/>
        <v>3.5</v>
      </c>
    </row>
    <row r="12" spans="1:39" ht="25.5" thickBot="1">
      <c r="A12" s="3447"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f t="shared" ca="1" si="0"/>
        <v>0</v>
      </c>
      <c r="U12" s="2882"/>
      <c r="V12" s="2893">
        <f t="shared" ca="1" si="1"/>
        <v>0</v>
      </c>
      <c r="W12" s="3457"/>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49"/>
      <c r="B13" s="1441" t="s">
        <v>1696</v>
      </c>
      <c r="C13" s="1442" t="s">
        <v>1697</v>
      </c>
      <c r="D13" s="1085" t="s">
        <v>1698</v>
      </c>
      <c r="E13" s="1085" t="s">
        <v>1699</v>
      </c>
      <c r="F13" s="1443" t="s">
        <v>948</v>
      </c>
      <c r="G13" s="1444" t="s">
        <v>1642</v>
      </c>
      <c r="H13" s="1445" t="s">
        <v>1642</v>
      </c>
      <c r="I13" s="1446" t="s">
        <v>1642</v>
      </c>
      <c r="J13" s="1447" t="s">
        <v>1642</v>
      </c>
      <c r="K13" s="3169"/>
      <c r="L13" s="3169"/>
      <c r="M13" s="3169"/>
      <c r="N13" s="3169"/>
      <c r="O13" s="3169"/>
      <c r="P13" s="1398"/>
      <c r="Q13" s="2175"/>
      <c r="R13" s="2893">
        <v>12</v>
      </c>
      <c r="S13" s="2882"/>
      <c r="T13" s="2893">
        <f t="shared" ca="1" si="0"/>
        <v>0</v>
      </c>
      <c r="U13" s="2882"/>
      <c r="V13" s="2893">
        <f t="shared" ca="1" si="1"/>
        <v>0</v>
      </c>
      <c r="W13" s="3457"/>
      <c r="X13" s="2890"/>
      <c r="Y13" s="2889">
        <f>(-0.163*(Y12^2)-0.59*Y12+7617)*(10^(-4))/Y11</f>
        <v>0.21762857142857145</v>
      </c>
      <c r="Z13" s="2889">
        <f t="shared" ref="Z13:AJ13" si="5">(-0.163*(Z12^2)-0.59*Z12+7617)*(10^(-4))/Z11</f>
        <v>0.21762857142857145</v>
      </c>
      <c r="AA13" s="2889">
        <f t="shared" si="5"/>
        <v>0.21762857142857145</v>
      </c>
      <c r="AB13" s="2889">
        <f t="shared" si="5"/>
        <v>0.21762857142857145</v>
      </c>
      <c r="AC13" s="2889">
        <f t="shared" si="5"/>
        <v>0.21762857142857145</v>
      </c>
      <c r="AD13" s="2889">
        <f t="shared" si="5"/>
        <v>0.21762857142857145</v>
      </c>
      <c r="AE13" s="2889">
        <f t="shared" si="5"/>
        <v>0.21762857142857145</v>
      </c>
      <c r="AF13" s="2889">
        <f t="shared" si="5"/>
        <v>0.21762857142857145</v>
      </c>
      <c r="AG13" s="2889">
        <f t="shared" si="5"/>
        <v>0.21762857142857145</v>
      </c>
      <c r="AH13" s="2889">
        <f t="shared" si="5"/>
        <v>0.21762857142857145</v>
      </c>
      <c r="AI13" s="2889">
        <f t="shared" si="5"/>
        <v>0.21762857142857145</v>
      </c>
      <c r="AJ13" s="2889">
        <f t="shared" si="5"/>
        <v>0.21762857142857145</v>
      </c>
    </row>
    <row r="14" spans="1:39" ht="12.75" customHeight="1">
      <c r="A14" s="3449"/>
      <c r="B14" s="1448"/>
      <c r="C14" s="1449"/>
      <c r="D14" s="1450"/>
      <c r="E14" s="1450"/>
      <c r="F14" s="1451"/>
      <c r="G14" s="1452" t="s">
        <v>949</v>
      </c>
      <c r="H14" s="1453"/>
      <c r="I14" s="1454"/>
      <c r="J14" s="1455"/>
      <c r="K14" s="3155"/>
      <c r="L14" s="3155"/>
      <c r="M14" s="3155"/>
      <c r="N14" s="3155"/>
      <c r="O14" s="3155"/>
      <c r="P14" s="1398"/>
      <c r="Q14" s="2175"/>
      <c r="R14" s="2893">
        <v>13</v>
      </c>
      <c r="S14" s="2882"/>
      <c r="T14" s="2893">
        <f t="shared" ca="1" si="0"/>
        <v>0</v>
      </c>
      <c r="U14" s="2882"/>
      <c r="V14" s="2893">
        <f t="shared" ca="1" si="1"/>
        <v>0</v>
      </c>
      <c r="W14" s="2175"/>
      <c r="X14" s="2175"/>
      <c r="Y14" s="2175"/>
      <c r="Z14" s="2175"/>
      <c r="AA14" s="2175"/>
      <c r="AB14" s="2175"/>
      <c r="AC14" s="2176"/>
    </row>
    <row r="15" spans="1:39" ht="13.5" customHeight="1" thickBot="1">
      <c r="A15" s="3450"/>
      <c r="B15" s="3174" t="s">
        <v>1700</v>
      </c>
      <c r="C15" s="1049">
        <f>IF(C14="有",1.1,1)</f>
        <v>1</v>
      </c>
      <c r="D15" s="1049">
        <f>IF(D14="有",1.1,1)</f>
        <v>1</v>
      </c>
      <c r="E15" s="1049">
        <f>IF(E14="有",1.1,1)</f>
        <v>1</v>
      </c>
      <c r="F15" s="1049">
        <f>IF(F14="500米范围内",1.2,IF(F14="500-1000米",1.1,1))</f>
        <v>1</v>
      </c>
      <c r="G15" s="3166">
        <v>1</v>
      </c>
      <c r="H15" s="3166">
        <v>1</v>
      </c>
      <c r="I15" s="3166">
        <v>1</v>
      </c>
      <c r="J15" s="3167">
        <v>1</v>
      </c>
      <c r="K15" s="3170"/>
      <c r="L15" s="3170"/>
      <c r="M15" s="3170"/>
      <c r="N15" s="3170"/>
      <c r="O15" s="3170"/>
      <c r="P15" s="1398"/>
      <c r="Q15" s="2175"/>
      <c r="R15" s="2893">
        <v>14</v>
      </c>
      <c r="S15" s="2882"/>
      <c r="T15" s="2893">
        <f t="shared" ca="1" si="0"/>
        <v>0</v>
      </c>
      <c r="U15" s="2882"/>
      <c r="V15" s="2893">
        <f t="shared" ca="1" si="1"/>
        <v>0</v>
      </c>
      <c r="W15" s="2175"/>
      <c r="X15" s="2175"/>
      <c r="Y15" s="2175"/>
      <c r="Z15" s="2175"/>
      <c r="AA15" s="2175"/>
      <c r="AB15" s="2175"/>
      <c r="AC15" s="2176"/>
    </row>
    <row r="16" spans="1:39" ht="24.6" customHeight="1">
      <c r="A16" s="3447" t="s">
        <v>1838</v>
      </c>
      <c r="B16" s="1424" t="s">
        <v>950</v>
      </c>
      <c r="C16" s="1052">
        <f>ROUND(IF(F17="与级别开发程度一致",0,(G17-E17)/C17),0)</f>
        <v>0</v>
      </c>
      <c r="D16" s="3465" t="s">
        <v>954</v>
      </c>
      <c r="E16" s="3466"/>
      <c r="F16" s="3465" t="s">
        <v>951</v>
      </c>
      <c r="G16" s="3466"/>
      <c r="H16" s="1456"/>
      <c r="I16" s="1456"/>
      <c r="J16" s="1456"/>
      <c r="K16" s="1456"/>
      <c r="L16" s="1456"/>
      <c r="M16" s="1456"/>
      <c r="N16" s="1456"/>
      <c r="O16" s="3179"/>
      <c r="P16" s="1398"/>
      <c r="Q16" s="2178"/>
      <c r="R16" s="2893">
        <v>15</v>
      </c>
      <c r="S16" s="2882"/>
      <c r="T16" s="2893">
        <f t="shared" ca="1" si="0"/>
        <v>0</v>
      </c>
      <c r="U16" s="2882"/>
      <c r="V16" s="2893">
        <f t="shared" ca="1" si="1"/>
        <v>0</v>
      </c>
      <c r="W16" s="2178"/>
      <c r="X16" s="2178"/>
      <c r="Y16" s="2178"/>
      <c r="Z16" s="2178"/>
      <c r="AA16" s="2178"/>
      <c r="AB16" s="2178"/>
      <c r="AC16" s="2179"/>
    </row>
    <row r="17" spans="1:40" ht="24.75" thickBot="1">
      <c r="A17" s="3451"/>
      <c r="B17" s="3180" t="s">
        <v>953</v>
      </c>
      <c r="C17" s="3181">
        <f>SUMPRODUCT((修正!A2:A5=E2)*(修正!B1:M1=G2)*(修正!B2:M5))</f>
        <v>2.5</v>
      </c>
      <c r="D17" s="3182" t="str">
        <f>IF(OR(G2="八级",G2="九级",G2="十级",G2="十一级",G2="十二级"),"五通一平","七通一平")</f>
        <v>七通一平</v>
      </c>
      <c r="E17" s="3172">
        <f>SUMPRODUCT((修正!B1:M1=G2)*(修正!B15:M15))</f>
        <v>300</v>
      </c>
      <c r="F17" s="3173" t="s">
        <v>3005</v>
      </c>
      <c r="G17" s="317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3">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5" t="s">
        <v>955</v>
      </c>
      <c r="C18" s="3176">
        <f>SUMIF(修正!C18:C39,E3,修正!E18:E39)</f>
        <v>1</v>
      </c>
      <c r="D18" s="3177"/>
      <c r="E18" s="3178"/>
      <c r="F18" s="3160"/>
      <c r="G18" s="3154"/>
      <c r="H18" s="3154"/>
      <c r="I18" s="3154"/>
      <c r="J18" s="3168"/>
      <c r="K18" s="3154"/>
      <c r="L18" s="3154"/>
      <c r="M18" s="3154"/>
      <c r="N18" s="3154"/>
      <c r="O18" s="3154"/>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ROUND(IF(H19="按公示增长率计算",SUMPRODUCT((地价!A3:A26=YEAR(G19)&amp;"-"&amp;ROUNDUP(MONTH(G19)/3,0))*(地价!X2:AB2=E2)*(地价!X3:AB26)),IF(H19="地价指数",M20/M19,(1+I19)^O19)),4)</f>
        <v>1.3736999999999999</v>
      </c>
      <c r="D19" s="1463" t="s">
        <v>957</v>
      </c>
      <c r="E19" s="1054">
        <v>41640</v>
      </c>
      <c r="F19" s="1463" t="s">
        <v>958</v>
      </c>
      <c r="G19" s="1055">
        <f>'数据-取费表'!B2</f>
        <v>43570</v>
      </c>
      <c r="H19" s="1464" t="s">
        <v>3006</v>
      </c>
      <c r="I19" s="2741" t="str">
        <f>IF(H19="季度增幅（自定义）",SUMIF(N21:N24,E2,O21:O24),"")</f>
        <v/>
      </c>
      <c r="J19" s="1460"/>
      <c r="K19" s="3154"/>
      <c r="L19" s="2993" t="s">
        <v>2840</v>
      </c>
      <c r="M19" s="2994">
        <f>ROUND(SUMIF(地价!B2:F2,E2,地价!B26:F26),0)</f>
        <v>258</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1</v>
      </c>
      <c r="D20" s="2738" t="s">
        <v>972</v>
      </c>
      <c r="E20" s="3047">
        <f ca="1">存贷款利率!I4/100</f>
        <v>4.3499999999999997E-2</v>
      </c>
      <c r="F20" s="2738" t="s">
        <v>973</v>
      </c>
      <c r="G20" s="2739">
        <f ca="1">SUMIF(M26:P26,E2,M28:P28)</f>
        <v>5.1999999999999998E-2</v>
      </c>
      <c r="H20" s="2738" t="s">
        <v>974</v>
      </c>
      <c r="I20" s="2734">
        <f>SUMIF('数据-取费表'!C6:C15,E2,'数据-取费表'!F6:F15)/COUNTIF('数据-取费表'!C6:C15,E2)</f>
        <v>50</v>
      </c>
      <c r="J20" s="2740">
        <f>IF(E2="住宅",70,IF(E2="商业",40,50))</f>
        <v>50</v>
      </c>
      <c r="K20" s="3156"/>
      <c r="L20" s="2995" t="s">
        <v>2841</v>
      </c>
      <c r="M20" s="3163">
        <f>ROUND(SUMPRODUCT((地价!A4:A26=YEAR(G19)&amp;"-"&amp;ROUNDUP(MONTH(G19)/3,0))*(地价!B2:F2=E2)*(地价!B4:F26)),0)</f>
        <v>346</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3007</v>
      </c>
      <c r="C21" s="1154">
        <f>IF(B21="容积率修正",IF(G3&lt;=10,D22,J22),C23)</f>
        <v>0.89929999999999999</v>
      </c>
      <c r="D21" s="1470"/>
      <c r="E21" s="1470"/>
      <c r="F21" s="1470"/>
      <c r="G21" s="1470"/>
      <c r="H21" s="1470"/>
      <c r="I21" s="1470"/>
      <c r="J21" s="1471"/>
      <c r="K21" s="3154"/>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0.89929999999999999</v>
      </c>
      <c r="E22" s="1039">
        <f>ROUNDDOWN(G3,1)</f>
        <v>3.5</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0.89929999999999999</v>
      </c>
      <c r="G22" s="1039">
        <f>ROUNDUP(G3,1)</f>
        <v>3.5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1056" t="s">
        <v>977</v>
      </c>
      <c r="J22" s="1056" t="str">
        <f>IF(G3&gt;10,D113,"——")</f>
        <v>——</v>
      </c>
      <c r="K22" s="3157"/>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0.64629999999999999</v>
      </c>
      <c r="D23" s="1518"/>
      <c r="E23" s="1518"/>
      <c r="F23" s="1519"/>
      <c r="G23" s="1520"/>
      <c r="H23" s="1521"/>
      <c r="I23" s="1522"/>
      <c r="J23" s="1522"/>
      <c r="K23" s="3158"/>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1.0442</v>
      </c>
      <c r="D24" s="1523"/>
      <c r="E24" s="1524"/>
      <c r="F24" s="1524"/>
      <c r="G24" s="1524"/>
      <c r="H24" s="1524"/>
      <c r="I24" s="1524"/>
      <c r="J24" s="1524"/>
      <c r="K24" s="3158"/>
      <c r="L24" s="1470"/>
      <c r="M24" s="1470"/>
      <c r="N24" s="1467" t="s">
        <v>981</v>
      </c>
      <c r="O24" s="3162"/>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4" t="s">
        <v>2648</v>
      </c>
      <c r="O25" s="3165"/>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f ca="1">E29+SUM(E33:E39)</f>
        <v>58154</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f ca="1">E30+SUM(I33:I39)</f>
        <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f ca="1">ROUND(C5*C18*C19*C20*C21*C24,0)</f>
        <v>12964</v>
      </c>
      <c r="D29" s="1492">
        <f>'数据-基础表'!I5</f>
        <v>44858</v>
      </c>
      <c r="E29" s="1835">
        <f ca="1">ROUND(C29*D29/10000,0)</f>
        <v>58154</v>
      </c>
      <c r="F29" s="1493" t="s">
        <v>1701</v>
      </c>
      <c r="G29" s="1494"/>
      <c r="H29" s="1494"/>
      <c r="I29" s="1494"/>
      <c r="J29" s="1495"/>
      <c r="K29" s="3159"/>
      <c r="L29" s="3159"/>
      <c r="M29" s="3159"/>
      <c r="N29" s="3159"/>
      <c r="O29" s="3159"/>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f ca="1">ROUND(IF(E2="工业",C29*M39,C29*M38),0)</f>
        <v>3241</v>
      </c>
      <c r="D30" s="1498"/>
      <c r="E30" s="1835">
        <f ca="1">ROUND(C30*D30/10000,0)</f>
        <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0"/>
      <c r="L32" s="3160"/>
      <c r="M32" s="3160"/>
      <c r="N32" s="3160"/>
      <c r="O32" s="3160"/>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54" t="s">
        <v>2959</v>
      </c>
      <c r="B33" s="1512" t="s">
        <v>999</v>
      </c>
      <c r="C33" s="1059">
        <f ca="1">ROUND(D5*C19*C20*C24*F33,0)</f>
        <v>10091</v>
      </c>
      <c r="D33" s="1525"/>
      <c r="E33" s="1048">
        <f ca="1">ROUND(C33*D33/10000,0)</f>
        <v>0</v>
      </c>
      <c r="F33" s="1048">
        <f>SUMIF(修正!A45:A56,G2,修正!B45:B56)</f>
        <v>0.7</v>
      </c>
      <c r="G33" s="1048">
        <f t="shared" ref="G33" ca="1" si="6">ROUND(IF(E2="工业",C33*$M$39,C33*$M$38),0)</f>
        <v>2523</v>
      </c>
      <c r="H33" s="1048">
        <f>D33</f>
        <v>0</v>
      </c>
      <c r="I33" s="1048">
        <f ca="1">ROUND(G33*H33/10000,0)</f>
        <v>0</v>
      </c>
      <c r="J33" s="1513"/>
      <c r="K33" s="3161"/>
      <c r="L33" s="3161"/>
      <c r="M33" s="3161"/>
      <c r="N33" s="3161"/>
      <c r="O33" s="3161"/>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55"/>
      <c r="B34" s="1442" t="s">
        <v>1000</v>
      </c>
      <c r="C34" s="1059">
        <f ca="1">ROUND(D5*C19*C20*C24*F34,0)</f>
        <v>5766</v>
      </c>
      <c r="D34" s="1525"/>
      <c r="E34" s="1048">
        <f t="shared" ref="E34:E39" ca="1" si="7">ROUND(C34*D34/10000,0)</f>
        <v>0</v>
      </c>
      <c r="F34" s="1048">
        <f>SUMIF(修正!A45:A56,G2,修正!C45:C56)</f>
        <v>0.4</v>
      </c>
      <c r="G34" s="1048">
        <f ca="1">ROUND(IF(E2="工业",C34*$M$39,C34*$M$38),0)</f>
        <v>1442</v>
      </c>
      <c r="H34" s="1048">
        <f t="shared" ref="H34:H39" si="8">D34</f>
        <v>0</v>
      </c>
      <c r="I34" s="1048">
        <f t="shared" ref="I34:I39" ca="1" si="9">ROUND(G34*H34/10000,0)</f>
        <v>0</v>
      </c>
      <c r="J34" s="1513"/>
      <c r="K34" s="3161"/>
      <c r="L34" s="3161"/>
      <c r="M34" s="3161"/>
      <c r="N34" s="3161"/>
      <c r="O34" s="3161"/>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55"/>
      <c r="B35" s="1442" t="s">
        <v>1001</v>
      </c>
      <c r="C35" s="1059">
        <f ca="1">ROUND(D5*C19*C20*C24*F35,0)</f>
        <v>4036</v>
      </c>
      <c r="D35" s="1525"/>
      <c r="E35" s="1048">
        <f t="shared" ca="1" si="7"/>
        <v>0</v>
      </c>
      <c r="F35" s="1048">
        <f>SUMIF(修正!A45:A56,G2,修正!D45:D56)</f>
        <v>0.28000000000000003</v>
      </c>
      <c r="G35" s="1048">
        <f ca="1">ROUND(IF(E2="工业",C35*$M$39,C35*$M$38),0)</f>
        <v>1009</v>
      </c>
      <c r="H35" s="1048">
        <f t="shared" si="8"/>
        <v>0</v>
      </c>
      <c r="I35" s="1048">
        <f t="shared" ca="1" si="9"/>
        <v>0</v>
      </c>
      <c r="J35" s="1513"/>
      <c r="K35" s="3161"/>
      <c r="L35" s="3161"/>
      <c r="M35" s="3161"/>
      <c r="N35" s="3161"/>
      <c r="O35" s="3161"/>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56"/>
      <c r="B36" s="1442" t="s">
        <v>1002</v>
      </c>
      <c r="C36" s="1059">
        <f ca="1">ROUND(D5*C19*C20*C24*F36,0)</f>
        <v>3604</v>
      </c>
      <c r="D36" s="1525"/>
      <c r="E36" s="1048">
        <f t="shared" ca="1" si="7"/>
        <v>0</v>
      </c>
      <c r="F36" s="1048">
        <f>SUMIF(修正!A45:A56,G2,修正!E45:E56)</f>
        <v>0.25</v>
      </c>
      <c r="G36" s="1048">
        <f ca="1">ROUND(IF(E2="工业",C36*$M$39,C36*$M$38),0)</f>
        <v>901</v>
      </c>
      <c r="H36" s="1048">
        <f t="shared" si="8"/>
        <v>0</v>
      </c>
      <c r="I36" s="1048">
        <f t="shared" ca="1" si="9"/>
        <v>0</v>
      </c>
      <c r="J36" s="1513"/>
      <c r="K36" s="3161"/>
      <c r="L36" s="3161"/>
      <c r="M36" s="3161"/>
      <c r="N36" s="3161"/>
      <c r="O36" s="3161"/>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f ca="1">ROUND(D5*C19*C20*C24*F37,0)</f>
        <v>3604</v>
      </c>
      <c r="D37" s="1525"/>
      <c r="E37" s="1048">
        <f t="shared" ca="1" si="7"/>
        <v>0</v>
      </c>
      <c r="F37" s="1059">
        <f>SUMIF(修正!A45:A56,G2,修正!F45:F56)</f>
        <v>0.25</v>
      </c>
      <c r="G37" s="1048">
        <f ca="1">ROUND(IF(E2="工业",C37*$M$39,C37*$M$38),0)</f>
        <v>901</v>
      </c>
      <c r="H37" s="1048">
        <f t="shared" si="8"/>
        <v>0</v>
      </c>
      <c r="I37" s="1048">
        <f t="shared" ca="1" si="9"/>
        <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f ca="1">ROUND(D5*C19*C41*C24*F38,0)</f>
        <v>3604</v>
      </c>
      <c r="D38" s="1525"/>
      <c r="E38" s="1048">
        <f t="shared" ca="1" si="7"/>
        <v>0</v>
      </c>
      <c r="F38" s="1059">
        <f>SUMIF(修正!A45:A56,G2,修正!G45:G56)</f>
        <v>0.25</v>
      </c>
      <c r="G38" s="1048">
        <f ca="1">ROUND(IF(E2="工业",C38*$M$39,C38*$M$38),0)</f>
        <v>901</v>
      </c>
      <c r="H38" s="1048">
        <f t="shared" si="8"/>
        <v>0</v>
      </c>
      <c r="I38" s="1048">
        <f t="shared" ca="1" si="9"/>
        <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f ca="1">ROUND(D5*C19*C41*C24*F39,0)</f>
        <v>2883</v>
      </c>
      <c r="D39" s="1526"/>
      <c r="E39" s="1051">
        <f t="shared" ca="1" si="7"/>
        <v>0</v>
      </c>
      <c r="F39" s="1061">
        <f>SUMIF(修正!A45:A56,G2,修正!H45:H56)</f>
        <v>0.2</v>
      </c>
      <c r="G39" s="1051">
        <f ca="1">ROUND(IF(E2="工业",C39*$M$39,C39*$M$38),0)</f>
        <v>721</v>
      </c>
      <c r="H39" s="1051">
        <f t="shared" si="8"/>
        <v>0</v>
      </c>
      <c r="I39" s="1051">
        <f t="shared" ca="1" si="9"/>
        <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0" t="s">
        <v>2986</v>
      </c>
      <c r="C41" s="839">
        <f ca="1">ROUND(POWER(1+E41,H41-G41)*(POWER(1+E41,G41)-1)/(POWER(1+E41,H41)-1),4)</f>
        <v>1</v>
      </c>
      <c r="D41" s="378" t="s">
        <v>2984</v>
      </c>
      <c r="E41" s="3149">
        <f ca="1">G20</f>
        <v>5.1999999999999998E-2</v>
      </c>
      <c r="F41" s="378" t="s">
        <v>2985</v>
      </c>
      <c r="G41" s="396">
        <v>50</v>
      </c>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hidden="1">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hidden="1">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hidden="1">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84" hidden="1">
      <c r="A48" s="1063" t="s">
        <v>1021</v>
      </c>
      <c r="B48" s="2373" t="str">
        <f>估价对象房地状况!C18</f>
        <v>估价对象周边有运通113路、运通114路、436路、481路、531路、611路、959路等多条公共交通线路，距地铁1号线（八宝山站）约2公里，综合评价交通便捷度一般</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hidden="1">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hidden="1">
      <c r="A50" s="1063" t="s">
        <v>1023</v>
      </c>
      <c r="B50" s="3049" t="s">
        <v>2935</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hidden="1">
      <c r="A51" s="1063" t="s">
        <v>1024</v>
      </c>
      <c r="B51" s="2373" t="str">
        <f>估价对象房地状况!C24</f>
        <v>城市支路——张仪村东五路</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hidden="1">
      <c r="A52" s="1063" t="s">
        <v>1025</v>
      </c>
      <c r="B52" s="3048" t="s">
        <v>2934</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hidden="1">
      <c r="A53" s="2405" t="s">
        <v>1026</v>
      </c>
      <c r="B53" s="2374" t="str">
        <f>估价对象房地状况!C21</f>
        <v>估价对象所在区域公共配套设施齐备情况较齐备</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hidden="1">
      <c r="A54" s="2405" t="s">
        <v>1027</v>
      </c>
      <c r="B54" s="2373" t="str">
        <f>估价对象房地状况!C22</f>
        <v>七通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60.75" hidden="1" thickBot="1">
      <c r="A55" s="2406" t="s">
        <v>1028</v>
      </c>
      <c r="B55" s="2377" t="str">
        <f>估价对象房地状况!C20</f>
        <v>区域自然环境：火车头广场、北京园博园；人文环境：北京市第一中级人民法院、北京市第四中级人民法院；综合评价环境状况较好</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1.0442</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69" customHeight="1">
      <c r="A58" s="1063" t="s">
        <v>1030</v>
      </c>
      <c r="B58" s="2376" t="str">
        <f>估价对象房地状况!C17</f>
        <v>估价对象周边有大成时代中心、万达广场写字楼、泰禾长安中心、紫御国际等，办公楼项目较多，入驻率高，办公集聚程度较好</v>
      </c>
      <c r="C58" s="1050" t="s">
        <v>3008</v>
      </c>
      <c r="D58" s="2382">
        <f t="shared" ref="D58:D66" si="15">SUMIF($J$57:$N$57,C58,J58:N58)</f>
        <v>1.47E-2</v>
      </c>
      <c r="E58" s="2401">
        <f>ROUND(SUM(D58:D66),4)</f>
        <v>4.4200000000000003E-2</v>
      </c>
      <c r="F58" s="2402">
        <f>IF(E2="办公",SUMIF(L1:L12,G2,N1:N12),"——")</f>
        <v>0.123</v>
      </c>
      <c r="G58" s="3205">
        <f>H58</f>
        <v>1.47E-2</v>
      </c>
      <c r="H58" s="2426">
        <f>IFERROR(ROUNDDOWN($F$58*I58/2,4),"——")</f>
        <v>1.47E-2</v>
      </c>
      <c r="I58" s="2400">
        <v>0.24</v>
      </c>
      <c r="J58" s="2403">
        <f t="shared" ref="J58:J66" si="16">K58+$G58</f>
        <v>2.9399999999999999E-2</v>
      </c>
      <c r="K58" s="2403">
        <f t="shared" ref="K58:K66" si="17">$L58+$G58</f>
        <v>1.47E-2</v>
      </c>
      <c r="L58" s="2403">
        <v>0</v>
      </c>
      <c r="M58" s="2403">
        <f t="shared" ref="M58:N66" si="18">L58-$G58</f>
        <v>-1.47E-2</v>
      </c>
      <c r="N58" s="2403">
        <f t="shared" si="18"/>
        <v>-2.9399999999999999E-2</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84">
      <c r="A59" s="1063" t="s">
        <v>1021</v>
      </c>
      <c r="B59" s="2373" t="str">
        <f>估价对象房地状况!C18</f>
        <v>估价对象周边有运通113路、运通114路、436路、481路、531路、611路、959路等多条公共交通线路，距地铁1号线（八宝山站）约2公里，综合评价交通便捷度一般</v>
      </c>
      <c r="C59" s="1050" t="s">
        <v>3009</v>
      </c>
      <c r="D59" s="2382">
        <f t="shared" si="15"/>
        <v>0</v>
      </c>
      <c r="E59" s="2404"/>
      <c r="F59" s="2402"/>
      <c r="G59" s="3205">
        <f t="shared" ref="G59:G66" si="19">H59</f>
        <v>1.8449999999999998E-2</v>
      </c>
      <c r="H59" s="2381">
        <f t="shared" ref="H59:H66" si="20">IFERROR($F$58*I59/2,"——")</f>
        <v>1.8449999999999998E-2</v>
      </c>
      <c r="I59" s="2400">
        <v>0.3</v>
      </c>
      <c r="J59" s="2403">
        <f t="shared" si="16"/>
        <v>3.6899999999999995E-2</v>
      </c>
      <c r="K59" s="2403">
        <f t="shared" si="17"/>
        <v>1.8449999999999998E-2</v>
      </c>
      <c r="L59" s="2403">
        <v>0</v>
      </c>
      <c r="M59" s="2403">
        <f t="shared" si="18"/>
        <v>-1.8449999999999998E-2</v>
      </c>
      <c r="N59" s="2403">
        <f t="shared" si="18"/>
        <v>-3.6899999999999995E-2</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t="s">
        <v>3008</v>
      </c>
      <c r="D60" s="2382">
        <f t="shared" si="15"/>
        <v>4.9199999999999999E-3</v>
      </c>
      <c r="E60" s="2404"/>
      <c r="F60" s="2402"/>
      <c r="G60" s="3205">
        <f t="shared" si="19"/>
        <v>4.9199999999999999E-3</v>
      </c>
      <c r="H60" s="2381">
        <f t="shared" si="20"/>
        <v>4.9199999999999999E-3</v>
      </c>
      <c r="I60" s="2400">
        <v>0.08</v>
      </c>
      <c r="J60" s="2403">
        <f t="shared" si="16"/>
        <v>9.8399999999999998E-3</v>
      </c>
      <c r="K60" s="2403">
        <f t="shared" si="17"/>
        <v>4.9199999999999999E-3</v>
      </c>
      <c r="L60" s="2403">
        <v>0</v>
      </c>
      <c r="M60" s="2403">
        <f t="shared" si="18"/>
        <v>-4.9199999999999999E-3</v>
      </c>
      <c r="N60" s="2403">
        <f t="shared" si="18"/>
        <v>-9.8399999999999998E-3</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2936</v>
      </c>
      <c r="C61" s="1050" t="s">
        <v>3008</v>
      </c>
      <c r="D61" s="2382">
        <f t="shared" si="15"/>
        <v>2.4599999999999999E-3</v>
      </c>
      <c r="E61" s="2404"/>
      <c r="F61" s="2402"/>
      <c r="G61" s="3205">
        <f t="shared" si="19"/>
        <v>2.4599999999999999E-3</v>
      </c>
      <c r="H61" s="2381">
        <f t="shared" si="20"/>
        <v>2.4599999999999999E-3</v>
      </c>
      <c r="I61" s="2400">
        <v>0.04</v>
      </c>
      <c r="J61" s="2403">
        <f t="shared" si="16"/>
        <v>4.9199999999999999E-3</v>
      </c>
      <c r="K61" s="2403">
        <f t="shared" si="17"/>
        <v>2.4599999999999999E-3</v>
      </c>
      <c r="L61" s="2403">
        <v>0</v>
      </c>
      <c r="M61" s="2403">
        <f t="shared" si="18"/>
        <v>-2.4599999999999999E-3</v>
      </c>
      <c r="N61" s="2403">
        <f t="shared" si="18"/>
        <v>-4.9199999999999999E-3</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t="str">
        <f>估价对象房地状况!C24</f>
        <v>城市支路——张仪村东五路</v>
      </c>
      <c r="C62" s="1050" t="s">
        <v>3010</v>
      </c>
      <c r="D62" s="2382">
        <f t="shared" si="15"/>
        <v>-3.075E-3</v>
      </c>
      <c r="E62" s="2404"/>
      <c r="F62" s="2402"/>
      <c r="G62" s="3205">
        <f t="shared" si="19"/>
        <v>3.075E-3</v>
      </c>
      <c r="H62" s="2381">
        <f t="shared" si="20"/>
        <v>3.075E-3</v>
      </c>
      <c r="I62" s="2400">
        <v>0.05</v>
      </c>
      <c r="J62" s="2403">
        <f t="shared" si="16"/>
        <v>6.1500000000000001E-3</v>
      </c>
      <c r="K62" s="2403">
        <f t="shared" si="17"/>
        <v>3.075E-3</v>
      </c>
      <c r="L62" s="2403">
        <v>0</v>
      </c>
      <c r="M62" s="2403">
        <f t="shared" si="18"/>
        <v>-3.075E-3</v>
      </c>
      <c r="N62" s="2403">
        <f t="shared" si="18"/>
        <v>-6.1500000000000001E-3</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2934</v>
      </c>
      <c r="C63" s="1050" t="s">
        <v>3008</v>
      </c>
      <c r="D63" s="2382">
        <f t="shared" si="15"/>
        <v>3.075E-3</v>
      </c>
      <c r="E63" s="2404"/>
      <c r="F63" s="2402"/>
      <c r="G63" s="3205">
        <f t="shared" si="19"/>
        <v>3.075E-3</v>
      </c>
      <c r="H63" s="2381">
        <f t="shared" si="20"/>
        <v>3.075E-3</v>
      </c>
      <c r="I63" s="2400">
        <v>0.05</v>
      </c>
      <c r="J63" s="2403">
        <f t="shared" si="16"/>
        <v>6.1500000000000001E-3</v>
      </c>
      <c r="K63" s="2403">
        <f t="shared" si="17"/>
        <v>3.075E-3</v>
      </c>
      <c r="L63" s="2403">
        <v>0</v>
      </c>
      <c r="M63" s="2403">
        <f t="shared" si="18"/>
        <v>-3.075E-3</v>
      </c>
      <c r="N63" s="2403">
        <f t="shared" si="18"/>
        <v>-6.1500000000000001E-3</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估价对象所在区域公共配套设施齐备情况较齐备</v>
      </c>
      <c r="C64" s="1050" t="s">
        <v>3008</v>
      </c>
      <c r="D64" s="2382">
        <f t="shared" si="15"/>
        <v>3.6899999999999997E-3</v>
      </c>
      <c r="E64" s="2404"/>
      <c r="F64" s="2402"/>
      <c r="G64" s="3205">
        <f t="shared" si="19"/>
        <v>3.6899999999999997E-3</v>
      </c>
      <c r="H64" s="2381">
        <f t="shared" si="20"/>
        <v>3.6899999999999997E-3</v>
      </c>
      <c r="I64" s="2400">
        <v>0.06</v>
      </c>
      <c r="J64" s="2403">
        <f t="shared" si="16"/>
        <v>7.3799999999999994E-3</v>
      </c>
      <c r="K64" s="2403">
        <f t="shared" si="17"/>
        <v>3.6899999999999997E-3</v>
      </c>
      <c r="L64" s="2403">
        <v>0</v>
      </c>
      <c r="M64" s="2403">
        <f t="shared" si="18"/>
        <v>-3.6899999999999997E-3</v>
      </c>
      <c r="N64" s="2403">
        <f t="shared" si="18"/>
        <v>-7.3799999999999994E-3</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七通</v>
      </c>
      <c r="C65" s="1050" t="s">
        <v>3012</v>
      </c>
      <c r="D65" s="2382">
        <f t="shared" si="15"/>
        <v>1.4759999999999999E-2</v>
      </c>
      <c r="E65" s="2404"/>
      <c r="F65" s="2402"/>
      <c r="G65" s="3205">
        <f t="shared" si="19"/>
        <v>7.3799999999999994E-3</v>
      </c>
      <c r="H65" s="2381">
        <f t="shared" si="20"/>
        <v>7.3799999999999994E-3</v>
      </c>
      <c r="I65" s="2400">
        <v>0.12</v>
      </c>
      <c r="J65" s="2403">
        <f t="shared" si="16"/>
        <v>1.4759999999999999E-2</v>
      </c>
      <c r="K65" s="2403">
        <f t="shared" si="17"/>
        <v>7.3799999999999994E-3</v>
      </c>
      <c r="L65" s="2403">
        <v>0</v>
      </c>
      <c r="M65" s="2403">
        <f t="shared" si="18"/>
        <v>-7.3799999999999994E-3</v>
      </c>
      <c r="N65" s="2403">
        <f t="shared" si="18"/>
        <v>-1.4759999999999999E-2</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60.75" thickBot="1">
      <c r="A66" s="2406" t="s">
        <v>1028</v>
      </c>
      <c r="B66" s="2378" t="str">
        <f>估价对象房地状况!C20</f>
        <v>区域自然环境：火车头广场、北京园博园；人文环境：北京市第一中级人民法院、北京市第四中级人民法院；综合评价环境状况较好</v>
      </c>
      <c r="C66" s="1050" t="s">
        <v>3008</v>
      </c>
      <c r="D66" s="2382">
        <f t="shared" si="15"/>
        <v>3.6899999999999997E-3</v>
      </c>
      <c r="E66" s="2408"/>
      <c r="F66" s="2402"/>
      <c r="G66" s="3205">
        <f t="shared" si="19"/>
        <v>3.6899999999999997E-3</v>
      </c>
      <c r="H66" s="2381">
        <f t="shared" si="20"/>
        <v>3.6899999999999997E-3</v>
      </c>
      <c r="I66" s="2407">
        <v>0.06</v>
      </c>
      <c r="J66" s="2403">
        <f t="shared" si="16"/>
        <v>7.3799999999999994E-3</v>
      </c>
      <c r="K66" s="2403">
        <f t="shared" si="17"/>
        <v>3.6899999999999997E-3</v>
      </c>
      <c r="L66" s="2403">
        <v>0</v>
      </c>
      <c r="M66" s="2403">
        <f t="shared" si="18"/>
        <v>-3.6899999999999997E-3</v>
      </c>
      <c r="N66" s="2403">
        <f t="shared" si="18"/>
        <v>-7.3799999999999994E-3</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1">SUMIF($J$68:$N$68,C69,J69:N69)</f>
        <v>0</v>
      </c>
      <c r="E69" s="2401">
        <f>ROUND(SUM(D69:D77),4)</f>
        <v>0</v>
      </c>
      <c r="F69" s="2402" t="str">
        <f>IF(E2="住宅",SUMIF(L1:L12,G2,N1:N12),"——")</f>
        <v>——</v>
      </c>
      <c r="G69" s="2383"/>
      <c r="H69" s="2427" t="str">
        <f t="shared" ref="H69:H77" si="22">IFERROR(ROUNDDOWN($F$69*I69/2,4),"——")</f>
        <v>——</v>
      </c>
      <c r="I69" s="2400">
        <v>0.14000000000000001</v>
      </c>
      <c r="J69" s="2403">
        <f t="shared" ref="J69:J77" si="23">K69+$G69</f>
        <v>0</v>
      </c>
      <c r="K69" s="2403">
        <f t="shared" ref="K69:K77" si="24">$L69+$G69</f>
        <v>0</v>
      </c>
      <c r="L69" s="2403">
        <v>0</v>
      </c>
      <c r="M69" s="2403">
        <f t="shared" ref="M69:N77" si="25">L69-$G69</f>
        <v>0</v>
      </c>
      <c r="N69" s="2403">
        <f t="shared" si="25"/>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84">
      <c r="A70" s="1063" t="s">
        <v>1033</v>
      </c>
      <c r="B70" s="2373" t="str">
        <f>估价对象房地状况!C18</f>
        <v>估价对象周边有运通113路、运通114路、436路、481路、531路、611路、959路等多条公共交通线路，距地铁1号线（八宝山站）约2公里，综合评价交通便捷度一般</v>
      </c>
      <c r="C70" s="1155"/>
      <c r="D70" s="2382">
        <f t="shared" si="21"/>
        <v>0</v>
      </c>
      <c r="E70" s="2410"/>
      <c r="F70" s="2411"/>
      <c r="G70" s="2383"/>
      <c r="H70" s="2427" t="str">
        <f t="shared" si="22"/>
        <v>——</v>
      </c>
      <c r="I70" s="2400">
        <v>0.3</v>
      </c>
      <c r="J70" s="2403">
        <f t="shared" si="23"/>
        <v>0</v>
      </c>
      <c r="K70" s="2403">
        <f t="shared" si="24"/>
        <v>0</v>
      </c>
      <c r="L70" s="2403">
        <v>0</v>
      </c>
      <c r="M70" s="2403">
        <f t="shared" si="25"/>
        <v>0</v>
      </c>
      <c r="N70" s="2403">
        <f t="shared" si="25"/>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1"/>
        <v>0</v>
      </c>
      <c r="E71" s="2410"/>
      <c r="F71" s="2411"/>
      <c r="G71" s="2383"/>
      <c r="H71" s="2427" t="str">
        <f t="shared" si="22"/>
        <v>——</v>
      </c>
      <c r="I71" s="2400">
        <v>0.08</v>
      </c>
      <c r="J71" s="2403">
        <f t="shared" si="23"/>
        <v>0</v>
      </c>
      <c r="K71" s="2403">
        <f t="shared" si="24"/>
        <v>0</v>
      </c>
      <c r="L71" s="2403">
        <v>0</v>
      </c>
      <c r="M71" s="2403">
        <f t="shared" si="25"/>
        <v>0</v>
      </c>
      <c r="N71" s="2403">
        <f t="shared" si="25"/>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t="str">
        <f>估价对象房地状况!C24</f>
        <v>城市支路——张仪村东五路</v>
      </c>
      <c r="C72" s="1155"/>
      <c r="D72" s="2382">
        <f t="shared" si="21"/>
        <v>0</v>
      </c>
      <c r="E72" s="2410"/>
      <c r="F72" s="2411"/>
      <c r="G72" s="2383"/>
      <c r="H72" s="2427" t="str">
        <f t="shared" si="22"/>
        <v>——</v>
      </c>
      <c r="I72" s="2400">
        <v>0.04</v>
      </c>
      <c r="J72" s="2403">
        <f t="shared" si="23"/>
        <v>0</v>
      </c>
      <c r="K72" s="2403">
        <f t="shared" si="24"/>
        <v>0</v>
      </c>
      <c r="L72" s="2403">
        <v>0</v>
      </c>
      <c r="M72" s="2403">
        <f t="shared" si="25"/>
        <v>0</v>
      </c>
      <c r="N72" s="2403">
        <f t="shared" si="25"/>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估价对象所在区域公共配套设施齐备情况较齐备</v>
      </c>
      <c r="C73" s="1155"/>
      <c r="D73" s="2382">
        <f t="shared" si="21"/>
        <v>0</v>
      </c>
      <c r="E73" s="2410"/>
      <c r="F73" s="2411"/>
      <c r="G73" s="2383"/>
      <c r="H73" s="2427" t="str">
        <f t="shared" si="22"/>
        <v>——</v>
      </c>
      <c r="I73" s="2400">
        <v>0.08</v>
      </c>
      <c r="J73" s="2403">
        <f t="shared" si="23"/>
        <v>0</v>
      </c>
      <c r="K73" s="2403">
        <f t="shared" si="24"/>
        <v>0</v>
      </c>
      <c r="L73" s="2403">
        <v>0</v>
      </c>
      <c r="M73" s="2403">
        <f t="shared" si="25"/>
        <v>0</v>
      </c>
      <c r="N73" s="2403">
        <f t="shared" si="25"/>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七通</v>
      </c>
      <c r="C74" s="1155"/>
      <c r="D74" s="2382">
        <f t="shared" si="21"/>
        <v>0</v>
      </c>
      <c r="E74" s="2410"/>
      <c r="F74" s="2411"/>
      <c r="G74" s="2383"/>
      <c r="H74" s="2427" t="str">
        <f t="shared" si="22"/>
        <v>——</v>
      </c>
      <c r="I74" s="2400">
        <v>0.12</v>
      </c>
      <c r="J74" s="2403">
        <f t="shared" si="23"/>
        <v>0</v>
      </c>
      <c r="K74" s="2403">
        <f t="shared" si="24"/>
        <v>0</v>
      </c>
      <c r="L74" s="2403">
        <v>0</v>
      </c>
      <c r="M74" s="2403">
        <f t="shared" si="25"/>
        <v>0</v>
      </c>
      <c r="N74" s="2403">
        <f t="shared" si="25"/>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2934</v>
      </c>
      <c r="C75" s="1155"/>
      <c r="D75" s="2382">
        <f t="shared" si="21"/>
        <v>0</v>
      </c>
      <c r="E75" s="2410"/>
      <c r="F75" s="2411"/>
      <c r="G75" s="2383"/>
      <c r="H75" s="2427" t="str">
        <f t="shared" si="22"/>
        <v>——</v>
      </c>
      <c r="I75" s="2400">
        <v>0.05</v>
      </c>
      <c r="J75" s="2403">
        <f t="shared" si="23"/>
        <v>0</v>
      </c>
      <c r="K75" s="2403">
        <f t="shared" si="24"/>
        <v>0</v>
      </c>
      <c r="L75" s="2403">
        <v>0</v>
      </c>
      <c r="M75" s="2403">
        <f t="shared" si="25"/>
        <v>0</v>
      </c>
      <c r="N75" s="2403">
        <f t="shared" si="25"/>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60">
      <c r="A76" s="1063" t="s">
        <v>1028</v>
      </c>
      <c r="B76" s="2376" t="str">
        <f>估价对象房地状况!C20</f>
        <v>区域自然环境：火车头广场、北京园博园；人文环境：北京市第一中级人民法院、北京市第四中级人民法院；综合评价环境状况较好</v>
      </c>
      <c r="C76" s="1155"/>
      <c r="D76" s="2382">
        <f t="shared" si="21"/>
        <v>0</v>
      </c>
      <c r="E76" s="2410"/>
      <c r="F76" s="2411"/>
      <c r="G76" s="2383"/>
      <c r="H76" s="2427" t="str">
        <f t="shared" si="22"/>
        <v>——</v>
      </c>
      <c r="I76" s="2400">
        <v>0.15</v>
      </c>
      <c r="J76" s="2403">
        <f t="shared" si="23"/>
        <v>0</v>
      </c>
      <c r="K76" s="2403">
        <f t="shared" si="24"/>
        <v>0</v>
      </c>
      <c r="L76" s="2403">
        <v>0</v>
      </c>
      <c r="M76" s="2403">
        <f t="shared" si="25"/>
        <v>0</v>
      </c>
      <c r="N76" s="2403">
        <f t="shared" si="25"/>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1"/>
        <v>0</v>
      </c>
      <c r="E77" s="2412"/>
      <c r="F77" s="2411"/>
      <c r="G77" s="2383"/>
      <c r="H77" s="2427" t="str">
        <f t="shared" si="22"/>
        <v>——</v>
      </c>
      <c r="I77" s="2407">
        <v>0.04</v>
      </c>
      <c r="J77" s="2403">
        <f t="shared" si="23"/>
        <v>0</v>
      </c>
      <c r="K77" s="2403">
        <f t="shared" si="24"/>
        <v>0</v>
      </c>
      <c r="L77" s="2403">
        <v>0</v>
      </c>
      <c r="M77" s="2403">
        <f t="shared" si="25"/>
        <v>0</v>
      </c>
      <c r="N77" s="2403">
        <f t="shared" si="25"/>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6">SUMIF($J$79:$N$79,C80,J80:N80)</f>
        <v>0</v>
      </c>
      <c r="E80" s="2401">
        <f>ROUND(SUM(D80:D87),4)</f>
        <v>0</v>
      </c>
      <c r="F80" s="2402" t="str">
        <f>IF(E2="工业",SUMIF(L1:L12,G2,N1:N12),"——")</f>
        <v>——</v>
      </c>
      <c r="G80" s="2380"/>
      <c r="H80" s="2426" t="str">
        <f t="shared" ref="H80:H87" si="27">IFERROR(ROUNDDOWN($F$80*I80/2,4),"——")</f>
        <v>——</v>
      </c>
      <c r="I80" s="2400">
        <v>0.26</v>
      </c>
      <c r="J80" s="2403">
        <f t="shared" ref="J80:J87" si="28">K80+$G80</f>
        <v>0</v>
      </c>
      <c r="K80" s="2403">
        <f t="shared" ref="K80:K87" si="29">$L80+$G80</f>
        <v>0</v>
      </c>
      <c r="L80" s="2403">
        <v>0</v>
      </c>
      <c r="M80" s="2403">
        <f t="shared" ref="M80:N87" si="30">L80-$G80</f>
        <v>0</v>
      </c>
      <c r="N80" s="2403">
        <f t="shared" si="30"/>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6"/>
        <v>0</v>
      </c>
      <c r="E81" s="2410"/>
      <c r="F81" s="2411"/>
      <c r="G81" s="2380"/>
      <c r="H81" s="2426" t="str">
        <f t="shared" si="27"/>
        <v>——</v>
      </c>
      <c r="I81" s="2400">
        <v>0.33</v>
      </c>
      <c r="J81" s="2403">
        <f t="shared" si="28"/>
        <v>0</v>
      </c>
      <c r="K81" s="2403">
        <f t="shared" si="29"/>
        <v>0</v>
      </c>
      <c r="L81" s="2403">
        <v>0</v>
      </c>
      <c r="M81" s="2403">
        <f t="shared" si="30"/>
        <v>0</v>
      </c>
      <c r="N81" s="2403">
        <f t="shared" si="30"/>
        <v>0</v>
      </c>
      <c r="AC81" s="1402"/>
      <c r="AD81" s="1401"/>
      <c r="AJ81" s="1400"/>
      <c r="AN81" s="1401"/>
    </row>
    <row r="82" spans="1:40" ht="24">
      <c r="A82" s="1063" t="s">
        <v>1022</v>
      </c>
      <c r="B82" s="2373">
        <f>估价对象房地状况!G17</f>
        <v>0</v>
      </c>
      <c r="C82" s="1050"/>
      <c r="D82" s="2382">
        <f t="shared" si="26"/>
        <v>0</v>
      </c>
      <c r="E82" s="2410"/>
      <c r="F82" s="2411"/>
      <c r="G82" s="2380"/>
      <c r="H82" s="2426" t="str">
        <f t="shared" si="27"/>
        <v>——</v>
      </c>
      <c r="I82" s="2400">
        <v>0.05</v>
      </c>
      <c r="J82" s="2403">
        <f t="shared" si="28"/>
        <v>0</v>
      </c>
      <c r="K82" s="2403">
        <f t="shared" si="29"/>
        <v>0</v>
      </c>
      <c r="L82" s="2403">
        <v>0</v>
      </c>
      <c r="M82" s="2403">
        <f t="shared" si="30"/>
        <v>0</v>
      </c>
      <c r="N82" s="2403">
        <f t="shared" si="30"/>
        <v>0</v>
      </c>
      <c r="AC82" s="1402"/>
      <c r="AD82" s="1401"/>
      <c r="AJ82" s="1400"/>
      <c r="AN82" s="1401"/>
    </row>
    <row r="83" spans="1:40" ht="14.25">
      <c r="A83" s="1063" t="s">
        <v>1034</v>
      </c>
      <c r="B83" s="2373">
        <f>估价对象房地状况!G22</f>
        <v>0</v>
      </c>
      <c r="C83" s="1050"/>
      <c r="D83" s="2382">
        <f t="shared" si="26"/>
        <v>0</v>
      </c>
      <c r="E83" s="2410"/>
      <c r="F83" s="2411"/>
      <c r="G83" s="2380"/>
      <c r="H83" s="2426" t="str">
        <f t="shared" si="27"/>
        <v>——</v>
      </c>
      <c r="I83" s="2400">
        <v>0.04</v>
      </c>
      <c r="J83" s="2403">
        <f t="shared" si="28"/>
        <v>0</v>
      </c>
      <c r="K83" s="2403">
        <f t="shared" si="29"/>
        <v>0</v>
      </c>
      <c r="L83" s="2403">
        <v>0</v>
      </c>
      <c r="M83" s="2403">
        <f t="shared" si="30"/>
        <v>0</v>
      </c>
      <c r="N83" s="2403">
        <f t="shared" si="30"/>
        <v>0</v>
      </c>
      <c r="AC83" s="1402"/>
      <c r="AD83" s="1401"/>
      <c r="AJ83" s="1400"/>
      <c r="AN83" s="1401"/>
    </row>
    <row r="84" spans="1:40" ht="24">
      <c r="A84" s="1063" t="s">
        <v>1026</v>
      </c>
      <c r="B84" s="2374" t="str">
        <f>估价对象房地状况!G19</f>
        <v>估价对象所在区域公共配套设施齐备情况</v>
      </c>
      <c r="C84" s="1050"/>
      <c r="D84" s="2382">
        <f t="shared" si="26"/>
        <v>0</v>
      </c>
      <c r="E84" s="2410"/>
      <c r="F84" s="2411"/>
      <c r="G84" s="2380"/>
      <c r="H84" s="2426" t="str">
        <f t="shared" si="27"/>
        <v>——</v>
      </c>
      <c r="I84" s="2400">
        <v>0.06</v>
      </c>
      <c r="J84" s="2403">
        <f t="shared" si="28"/>
        <v>0</v>
      </c>
      <c r="K84" s="2403">
        <f t="shared" si="29"/>
        <v>0</v>
      </c>
      <c r="L84" s="2403">
        <v>0</v>
      </c>
      <c r="M84" s="2403">
        <f t="shared" si="30"/>
        <v>0</v>
      </c>
      <c r="N84" s="2403">
        <f t="shared" si="30"/>
        <v>0</v>
      </c>
      <c r="AC84" s="1402"/>
      <c r="AD84" s="1401"/>
      <c r="AJ84" s="1400"/>
      <c r="AN84" s="1401"/>
    </row>
    <row r="85" spans="1:40" ht="24">
      <c r="A85" s="1063" t="s">
        <v>1027</v>
      </c>
      <c r="B85" s="2374" t="str">
        <f>估价对象房地状况!G20</f>
        <v>估价对象所在区域基础设施水平</v>
      </c>
      <c r="C85" s="1050"/>
      <c r="D85" s="2382">
        <f t="shared" si="26"/>
        <v>0</v>
      </c>
      <c r="E85" s="2410"/>
      <c r="F85" s="2411"/>
      <c r="G85" s="2380"/>
      <c r="H85" s="2426" t="str">
        <f t="shared" si="27"/>
        <v>——</v>
      </c>
      <c r="I85" s="2400">
        <v>0.15</v>
      </c>
      <c r="J85" s="2403">
        <f t="shared" si="28"/>
        <v>0</v>
      </c>
      <c r="K85" s="2403">
        <f t="shared" si="29"/>
        <v>0</v>
      </c>
      <c r="L85" s="2403">
        <v>0</v>
      </c>
      <c r="M85" s="2403">
        <f t="shared" si="30"/>
        <v>0</v>
      </c>
      <c r="N85" s="2403">
        <f t="shared" si="30"/>
        <v>0</v>
      </c>
      <c r="AC85" s="1402"/>
      <c r="AD85" s="1401"/>
      <c r="AJ85" s="1400"/>
      <c r="AN85" s="1401"/>
    </row>
    <row r="86" spans="1:40" ht="24">
      <c r="A86" s="1063" t="s">
        <v>1025</v>
      </c>
      <c r="B86" s="3048" t="s">
        <v>2934</v>
      </c>
      <c r="C86" s="1050"/>
      <c r="D86" s="2382">
        <f t="shared" si="26"/>
        <v>0</v>
      </c>
      <c r="E86" s="2410"/>
      <c r="F86" s="2411"/>
      <c r="G86" s="2380"/>
      <c r="H86" s="2426" t="str">
        <f t="shared" si="27"/>
        <v>——</v>
      </c>
      <c r="I86" s="2400">
        <v>0.05</v>
      </c>
      <c r="J86" s="2403">
        <f t="shared" si="28"/>
        <v>0</v>
      </c>
      <c r="K86" s="2403">
        <f t="shared" si="29"/>
        <v>0</v>
      </c>
      <c r="L86" s="2403">
        <v>0</v>
      </c>
      <c r="M86" s="2403">
        <f t="shared" si="30"/>
        <v>0</v>
      </c>
      <c r="N86" s="2403">
        <f t="shared" si="30"/>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6"/>
        <v>0</v>
      </c>
      <c r="E87" s="2412"/>
      <c r="F87" s="2411"/>
      <c r="G87" s="2380"/>
      <c r="H87" s="2426" t="str">
        <f t="shared" si="27"/>
        <v>——</v>
      </c>
      <c r="I87" s="2407">
        <v>0.06</v>
      </c>
      <c r="J87" s="2403">
        <f t="shared" si="28"/>
        <v>0</v>
      </c>
      <c r="K87" s="2403">
        <f t="shared" si="29"/>
        <v>0</v>
      </c>
      <c r="L87" s="2403">
        <v>0</v>
      </c>
      <c r="M87" s="2403">
        <f t="shared" si="30"/>
        <v>0</v>
      </c>
      <c r="N87" s="2403">
        <f t="shared" si="30"/>
        <v>0</v>
      </c>
      <c r="AC87" s="1402"/>
      <c r="AD87" s="1401"/>
      <c r="AJ87" s="1400"/>
      <c r="AN87" s="1401"/>
    </row>
    <row r="90" spans="1:40">
      <c r="A90" s="3452" t="s">
        <v>1633</v>
      </c>
      <c r="B90" s="3452"/>
      <c r="C90" s="3452"/>
      <c r="D90" s="3452"/>
      <c r="E90" s="3452"/>
      <c r="F90" s="3452"/>
      <c r="G90" s="3452"/>
      <c r="H90" s="3452"/>
      <c r="I90" s="3452"/>
      <c r="J90" s="3452"/>
      <c r="K90" s="2415"/>
      <c r="L90" s="2415"/>
      <c r="M90" s="2415"/>
      <c r="N90" s="2415"/>
    </row>
    <row r="91" spans="1:40">
      <c r="A91" s="3453" t="s">
        <v>1443</v>
      </c>
      <c r="B91" s="3453" t="s">
        <v>1634</v>
      </c>
      <c r="C91" s="1136" t="s">
        <v>1635</v>
      </c>
      <c r="D91" s="1137"/>
      <c r="E91" s="1137"/>
      <c r="F91" s="1137"/>
      <c r="G91" s="1137"/>
      <c r="H91" s="1137"/>
      <c r="I91" s="1137"/>
      <c r="J91" s="1138"/>
      <c r="K91" s="1130"/>
      <c r="L91" s="1130"/>
      <c r="M91" s="1130"/>
      <c r="N91" s="1130"/>
    </row>
    <row r="92" spans="1:40">
      <c r="A92" s="3453"/>
      <c r="B92" s="3453"/>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60"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1"/>
      <c r="B99" s="1139" t="s">
        <v>1636</v>
      </c>
      <c r="C99" s="1141">
        <f>$I$3</f>
        <v>8</v>
      </c>
      <c r="D99" s="1141">
        <f t="shared" ref="D99:N99" si="31">$I$3</f>
        <v>8</v>
      </c>
      <c r="E99" s="1141">
        <f t="shared" si="31"/>
        <v>8</v>
      </c>
      <c r="F99" s="1141">
        <f t="shared" si="31"/>
        <v>8</v>
      </c>
      <c r="G99" s="1141">
        <f t="shared" si="31"/>
        <v>8</v>
      </c>
      <c r="H99" s="1141">
        <f t="shared" si="31"/>
        <v>8</v>
      </c>
      <c r="I99" s="1141">
        <f t="shared" si="31"/>
        <v>8</v>
      </c>
      <c r="J99" s="1141">
        <f t="shared" si="31"/>
        <v>8</v>
      </c>
      <c r="K99" s="1141">
        <f t="shared" si="31"/>
        <v>8</v>
      </c>
      <c r="L99" s="1141">
        <f t="shared" si="31"/>
        <v>8</v>
      </c>
      <c r="M99" s="1141">
        <f t="shared" si="31"/>
        <v>8</v>
      </c>
      <c r="N99" s="1141">
        <f t="shared" si="31"/>
        <v>8</v>
      </c>
    </row>
    <row r="100" spans="1:14">
      <c r="A100" s="346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0" t="s">
        <v>1637</v>
      </c>
      <c r="B101" s="1143" t="s">
        <v>906</v>
      </c>
      <c r="C101" s="1144">
        <f>$G$3</f>
        <v>3.5</v>
      </c>
      <c r="D101" s="1144">
        <f t="shared" ref="D101:N101" si="32">$G$3</f>
        <v>3.5</v>
      </c>
      <c r="E101" s="1144">
        <f t="shared" si="32"/>
        <v>3.5</v>
      </c>
      <c r="F101" s="1144">
        <f t="shared" si="32"/>
        <v>3.5</v>
      </c>
      <c r="G101" s="1144">
        <f t="shared" si="32"/>
        <v>3.5</v>
      </c>
      <c r="H101" s="1144">
        <f t="shared" si="32"/>
        <v>3.5</v>
      </c>
      <c r="I101" s="1144">
        <f t="shared" si="32"/>
        <v>3.5</v>
      </c>
      <c r="J101" s="1144">
        <f t="shared" si="32"/>
        <v>3.5</v>
      </c>
      <c r="K101" s="1144">
        <f t="shared" si="32"/>
        <v>3.5</v>
      </c>
      <c r="L101" s="1144">
        <f t="shared" si="32"/>
        <v>3.5</v>
      </c>
      <c r="M101" s="1144">
        <f t="shared" si="32"/>
        <v>3.5</v>
      </c>
      <c r="N101" s="1144">
        <f t="shared" si="32"/>
        <v>3.5</v>
      </c>
    </row>
    <row r="102" spans="1:14">
      <c r="A102" s="3461"/>
      <c r="B102" s="1139">
        <v>1</v>
      </c>
      <c r="C102" s="1140">
        <f>1.9362/C101</f>
        <v>0.55320000000000003</v>
      </c>
      <c r="D102" s="1140">
        <f>1.9362/D101</f>
        <v>0.55320000000000003</v>
      </c>
      <c r="E102" s="1140">
        <f>1.8629/E101</f>
        <v>0.53225714285714287</v>
      </c>
      <c r="F102" s="1140">
        <f>1.8629/F101</f>
        <v>0.53225714285714287</v>
      </c>
      <c r="G102" s="1140">
        <f>1.8629/G101</f>
        <v>0.53225714285714287</v>
      </c>
      <c r="H102" s="1140">
        <f>1.8629/H101</f>
        <v>0.53225714285714287</v>
      </c>
      <c r="I102" s="1140">
        <f>1.8629/I101</f>
        <v>0.53225714285714287</v>
      </c>
      <c r="J102" s="1140">
        <f>1.942/J101</f>
        <v>0.55485714285714283</v>
      </c>
      <c r="K102" s="1140">
        <f>1.942/K101</f>
        <v>0.55485714285714283</v>
      </c>
      <c r="L102" s="1140">
        <f>1.942/L101</f>
        <v>0.55485714285714283</v>
      </c>
      <c r="M102" s="1140">
        <f>1.942/M101</f>
        <v>0.55485714285714283</v>
      </c>
      <c r="N102" s="1140">
        <f>1.942/N101</f>
        <v>0.55485714285714283</v>
      </c>
    </row>
    <row r="103" spans="1:14">
      <c r="A103" s="3461"/>
      <c r="B103" s="1139">
        <v>2</v>
      </c>
      <c r="C103" s="1140">
        <f>1.4198/C101</f>
        <v>0.40565714285714283</v>
      </c>
      <c r="D103" s="1140">
        <f>1.4198/D101</f>
        <v>0.40565714285714283</v>
      </c>
      <c r="E103" s="1140">
        <f>1.3372/E101</f>
        <v>0.38205714285714282</v>
      </c>
      <c r="F103" s="1140">
        <f>1.3372/F101</f>
        <v>0.38205714285714282</v>
      </c>
      <c r="G103" s="1140">
        <f>1.3372/G101</f>
        <v>0.38205714285714282</v>
      </c>
      <c r="H103" s="1140">
        <f>1.3372/H101</f>
        <v>0.38205714285714282</v>
      </c>
      <c r="I103" s="1140">
        <f>1.3372/I101</f>
        <v>0.38205714285714282</v>
      </c>
      <c r="J103" s="1140">
        <f>1.2799/J101</f>
        <v>0.36568571428571428</v>
      </c>
      <c r="K103" s="1140">
        <f>1.2799/K101</f>
        <v>0.36568571428571428</v>
      </c>
      <c r="L103" s="1140">
        <f>1.2799/L101</f>
        <v>0.36568571428571428</v>
      </c>
      <c r="M103" s="1140">
        <f>1.2799/M101</f>
        <v>0.36568571428571428</v>
      </c>
      <c r="N103" s="1140">
        <f>1.2799/N101</f>
        <v>0.36568571428571428</v>
      </c>
    </row>
    <row r="104" spans="1:14">
      <c r="A104" s="3461"/>
      <c r="B104" s="1139">
        <v>3</v>
      </c>
      <c r="C104" s="1140">
        <f>1.1594/C101</f>
        <v>0.33125714285714286</v>
      </c>
      <c r="D104" s="1140">
        <f>1.1594/D101</f>
        <v>0.33125714285714286</v>
      </c>
      <c r="E104" s="1140">
        <f>1.0788/E101</f>
        <v>0.30822857142857141</v>
      </c>
      <c r="F104" s="1140">
        <f>1.0788/F101</f>
        <v>0.30822857142857141</v>
      </c>
      <c r="G104" s="1140">
        <f>1.0788/G101</f>
        <v>0.30822857142857141</v>
      </c>
      <c r="H104" s="1140">
        <f>1.0788/H101</f>
        <v>0.30822857142857141</v>
      </c>
      <c r="I104" s="1140">
        <f>1.0788/I101</f>
        <v>0.30822857142857141</v>
      </c>
      <c r="J104" s="1140">
        <f>1.0072/J101</f>
        <v>0.28777142857142862</v>
      </c>
      <c r="K104" s="1140">
        <f>1.0072/K101</f>
        <v>0.28777142857142862</v>
      </c>
      <c r="L104" s="1140">
        <f>1.0072/L101</f>
        <v>0.28777142857142862</v>
      </c>
      <c r="M104" s="1140">
        <f>1.0072/M101</f>
        <v>0.28777142857142862</v>
      </c>
      <c r="N104" s="1140">
        <f>1.0072/N101</f>
        <v>0.28777142857142862</v>
      </c>
    </row>
    <row r="105" spans="1:14">
      <c r="A105" s="3461"/>
      <c r="B105" s="1139">
        <v>4</v>
      </c>
      <c r="C105" s="1140">
        <f>0.9622/C101</f>
        <v>0.27491428571428572</v>
      </c>
      <c r="D105" s="1140">
        <f>0.9622/D101</f>
        <v>0.27491428571428572</v>
      </c>
      <c r="E105" s="1140">
        <f>0.8656/E101</f>
        <v>0.24731428571428574</v>
      </c>
      <c r="F105" s="1140">
        <f>0.8656/F101</f>
        <v>0.24731428571428574</v>
      </c>
      <c r="G105" s="1140">
        <f>0.8656/G101</f>
        <v>0.24731428571428574</v>
      </c>
      <c r="H105" s="1140">
        <f>0.8656/H101</f>
        <v>0.24731428571428574</v>
      </c>
      <c r="I105" s="1140">
        <f>0.8656/I101</f>
        <v>0.24731428571428574</v>
      </c>
      <c r="J105" s="1140">
        <f>0.7525/J101</f>
        <v>0.215</v>
      </c>
      <c r="K105" s="1140">
        <f>0.7525/K101</f>
        <v>0.215</v>
      </c>
      <c r="L105" s="1140">
        <f>0.7525/L101</f>
        <v>0.215</v>
      </c>
      <c r="M105" s="1140">
        <f>0.7525/M101</f>
        <v>0.215</v>
      </c>
      <c r="N105" s="1140">
        <f>0.7525/N101</f>
        <v>0.215</v>
      </c>
    </row>
    <row r="106" spans="1:14">
      <c r="A106" s="3461"/>
      <c r="B106" s="1139">
        <v>5</v>
      </c>
      <c r="C106" s="1140">
        <f>0.8417/C101</f>
        <v>0.24048571428571427</v>
      </c>
      <c r="D106" s="1140">
        <f>0.8417/D101</f>
        <v>0.24048571428571427</v>
      </c>
      <c r="E106" s="1140">
        <f>0.7371/E101</f>
        <v>0.21059999999999998</v>
      </c>
      <c r="F106" s="1140">
        <f>0.7371/F101</f>
        <v>0.21059999999999998</v>
      </c>
      <c r="G106" s="1140">
        <f>0.7371/G101</f>
        <v>0.21059999999999998</v>
      </c>
      <c r="H106" s="1140">
        <f>0.7371/H101</f>
        <v>0.21059999999999998</v>
      </c>
      <c r="I106" s="1140">
        <f>0.7371/I101</f>
        <v>0.21059999999999998</v>
      </c>
      <c r="J106" s="1140">
        <f>0.5659/J101</f>
        <v>0.16168571428571427</v>
      </c>
      <c r="K106" s="1140">
        <f>0.5659/K101</f>
        <v>0.16168571428571427</v>
      </c>
      <c r="L106" s="1140">
        <f>0.5659/L101</f>
        <v>0.16168571428571427</v>
      </c>
      <c r="M106" s="1140">
        <f>0.5659/M101</f>
        <v>0.16168571428571427</v>
      </c>
      <c r="N106" s="1140">
        <f>0.5659/N101</f>
        <v>0.16168571428571427</v>
      </c>
    </row>
    <row r="107" spans="1:14">
      <c r="A107" s="3461"/>
      <c r="B107" s="1139">
        <v>6</v>
      </c>
      <c r="C107" s="1140">
        <f>0.7608/C101</f>
        <v>0.21737142857142858</v>
      </c>
      <c r="D107" s="1140">
        <f>0.7608/D101</f>
        <v>0.21737142857142858</v>
      </c>
      <c r="E107" s="1140">
        <f>0.6482/E101</f>
        <v>0.1852</v>
      </c>
      <c r="F107" s="1140">
        <f>0.6482/F101</f>
        <v>0.1852</v>
      </c>
      <c r="G107" s="1140">
        <f>0.6482/G101</f>
        <v>0.1852</v>
      </c>
      <c r="H107" s="1140">
        <f>0.6482/H101</f>
        <v>0.1852</v>
      </c>
      <c r="I107" s="1140">
        <f>0.6482/I101</f>
        <v>0.1852</v>
      </c>
      <c r="J107" s="1140">
        <f>0.4525/J101</f>
        <v>0.12928571428571428</v>
      </c>
      <c r="K107" s="1140">
        <f>0.4525/K101</f>
        <v>0.12928571428571428</v>
      </c>
      <c r="L107" s="1140">
        <f>0.4525/L101</f>
        <v>0.12928571428571428</v>
      </c>
      <c r="M107" s="1140">
        <f>0.4525/M101</f>
        <v>0.12928571428571428</v>
      </c>
      <c r="N107" s="1140">
        <f>0.4525/N101</f>
        <v>0.12928571428571428</v>
      </c>
    </row>
    <row r="108" spans="1:14">
      <c r="A108" s="3461"/>
      <c r="B108" s="3463" t="s">
        <v>1638</v>
      </c>
      <c r="C108" s="1141">
        <f>C99</f>
        <v>8</v>
      </c>
      <c r="D108" s="1141">
        <f t="shared" ref="D108:N108" si="33">D99</f>
        <v>8</v>
      </c>
      <c r="E108" s="1141">
        <f t="shared" si="33"/>
        <v>8</v>
      </c>
      <c r="F108" s="1141">
        <f t="shared" si="33"/>
        <v>8</v>
      </c>
      <c r="G108" s="1141">
        <f t="shared" si="33"/>
        <v>8</v>
      </c>
      <c r="H108" s="1141">
        <f t="shared" si="33"/>
        <v>8</v>
      </c>
      <c r="I108" s="1141">
        <f t="shared" si="33"/>
        <v>8</v>
      </c>
      <c r="J108" s="1141">
        <f t="shared" si="33"/>
        <v>8</v>
      </c>
      <c r="K108" s="1141">
        <f t="shared" si="33"/>
        <v>8</v>
      </c>
      <c r="L108" s="1141">
        <f t="shared" si="33"/>
        <v>8</v>
      </c>
      <c r="M108" s="1141">
        <f t="shared" si="33"/>
        <v>8</v>
      </c>
      <c r="N108" s="1141">
        <f t="shared" si="33"/>
        <v>8</v>
      </c>
    </row>
    <row r="109" spans="1:14">
      <c r="A109" s="3462"/>
      <c r="B109" s="3464"/>
      <c r="C109" s="1142">
        <f>(-0.163*(C108^2)-0.59*C108+7617)*(10^(-4))/C101</f>
        <v>0.21719565714285713</v>
      </c>
      <c r="D109" s="1142">
        <f>(-0.163*(D108^2)-0.59*D108+7617)*(10^(-4))/D101</f>
        <v>0.21719565714285713</v>
      </c>
      <c r="E109" s="1142">
        <f>(-0.161*(E108^2)-7.509*E108+6533)*(10^(-4))/E101</f>
        <v>0.18464640000000002</v>
      </c>
      <c r="F109" s="1142">
        <f>(-0.161*(F108^2)-7.509*F108+6533)*(10^(-4))/F101</f>
        <v>0.18464640000000002</v>
      </c>
      <c r="G109" s="1142">
        <f>(-0.161*(G108^2)-7.509*G108+6533)*(10^(-4))/G101</f>
        <v>0.18464640000000002</v>
      </c>
      <c r="H109" s="1142">
        <f>(-0.161*(H108^2)-7.509*H108+6533)*(10^(-4))/H101</f>
        <v>0.18464640000000002</v>
      </c>
      <c r="I109" s="1142">
        <f>(-0.161*(I108^2)-7.509*I108+6533)*(10^(-4))/I101</f>
        <v>0.18464640000000002</v>
      </c>
      <c r="J109" s="1142">
        <f>(-0.214*(J108^2)-21.991*J108+4665)*(10^(-4))/J101</f>
        <v>0.12786788571428573</v>
      </c>
      <c r="K109" s="1142">
        <f>(-0.214*(K108^2)-21.991*K108+4665)*(10^(-4))/K101</f>
        <v>0.12786788571428573</v>
      </c>
      <c r="L109" s="1142">
        <f>(-0.214*(L108^2)-21.991*L108+4665)*(10^(-4))/L101</f>
        <v>0.12786788571428573</v>
      </c>
      <c r="M109" s="1142">
        <f>(-0.214*(M108^2)-21.991*M108+4665)*(10^(-4))/M101</f>
        <v>0.12786788571428573</v>
      </c>
      <c r="N109" s="1142">
        <f>(-0.214*(N108^2)-21.991*N108+4665)*(10^(-4))/N101</f>
        <v>0.12786788571428573</v>
      </c>
    </row>
    <row r="110" spans="1:14">
      <c r="A110" s="3446" t="s">
        <v>1639</v>
      </c>
      <c r="B110" s="3446"/>
      <c r="C110" s="3446"/>
      <c r="D110" s="3446"/>
      <c r="E110" s="3446"/>
      <c r="F110" s="3446"/>
      <c r="G110" s="3446"/>
      <c r="H110" s="3446"/>
      <c r="I110" s="3446"/>
      <c r="J110" s="3446"/>
      <c r="K110" s="2413"/>
      <c r="L110" s="2413"/>
      <c r="M110" s="2413"/>
      <c r="N110" s="2413"/>
    </row>
    <row r="112" spans="1:14" ht="12.75" thickBot="1"/>
    <row r="113" spans="1:13" ht="25.5" thickBot="1">
      <c r="A113" s="1016" t="s">
        <v>896</v>
      </c>
      <c r="B113" s="2416">
        <f>G3</f>
        <v>3.5</v>
      </c>
      <c r="C113" s="1017" t="s">
        <v>897</v>
      </c>
      <c r="D113" s="1018">
        <f>SUMPRODUCT((A115:A118=F113)*(B114:M114=H113)*B115:M118)</f>
        <v>0.81120000000000003</v>
      </c>
      <c r="E113" s="1019" t="s">
        <v>898</v>
      </c>
      <c r="F113" s="1020" t="str">
        <f>E2</f>
        <v>办公</v>
      </c>
      <c r="G113" s="1019" t="s">
        <v>899</v>
      </c>
      <c r="H113" s="1020" t="str">
        <f>G2</f>
        <v>六级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0.90059999999999996</v>
      </c>
      <c r="C115" s="1030">
        <f>B115</f>
        <v>0.90059999999999996</v>
      </c>
      <c r="D115" s="1030">
        <f>ROUND(0.8331-0.0109*B113,4)</f>
        <v>0.79500000000000004</v>
      </c>
      <c r="E115" s="1030">
        <f>D115</f>
        <v>0.79500000000000004</v>
      </c>
      <c r="F115" s="1030">
        <f>E115</f>
        <v>0.79500000000000004</v>
      </c>
      <c r="G115" s="1030">
        <f>F115</f>
        <v>0.79500000000000004</v>
      </c>
      <c r="H115" s="1030">
        <f>G115</f>
        <v>0.79500000000000004</v>
      </c>
      <c r="I115" s="1030">
        <f>ROUND(0.689-0.0155*B113,4)</f>
        <v>0.63480000000000003</v>
      </c>
      <c r="J115" s="1030">
        <f t="shared" ref="J115:M118" si="34">I115</f>
        <v>0.63480000000000003</v>
      </c>
      <c r="K115" s="1030">
        <f t="shared" si="34"/>
        <v>0.63480000000000003</v>
      </c>
      <c r="L115" s="1030">
        <f t="shared" si="34"/>
        <v>0.63480000000000003</v>
      </c>
      <c r="M115" s="1031">
        <f t="shared" si="34"/>
        <v>0.63480000000000003</v>
      </c>
    </row>
    <row r="116" spans="1:13" ht="12.75">
      <c r="A116" s="1029" t="s">
        <v>901</v>
      </c>
      <c r="B116" s="1030">
        <f>ROUND(0.949-0.012*B113,4)</f>
        <v>0.90700000000000003</v>
      </c>
      <c r="C116" s="1030">
        <f>B116</f>
        <v>0.90700000000000003</v>
      </c>
      <c r="D116" s="1030">
        <f>ROUND(0.8567-0.013*B113,4)</f>
        <v>0.81120000000000003</v>
      </c>
      <c r="E116" s="1030">
        <f t="shared" ref="E116:H117" si="35">D116</f>
        <v>0.81120000000000003</v>
      </c>
      <c r="F116" s="1030">
        <f t="shared" si="35"/>
        <v>0.81120000000000003</v>
      </c>
      <c r="G116" s="1030">
        <f t="shared" si="35"/>
        <v>0.81120000000000003</v>
      </c>
      <c r="H116" s="1030">
        <f t="shared" si="35"/>
        <v>0.81120000000000003</v>
      </c>
      <c r="I116" s="1030">
        <f>ROUND(0.7694-0.014*B113,4)</f>
        <v>0.72040000000000004</v>
      </c>
      <c r="J116" s="1030">
        <f t="shared" si="34"/>
        <v>0.72040000000000004</v>
      </c>
      <c r="K116" s="1030">
        <f t="shared" si="34"/>
        <v>0.72040000000000004</v>
      </c>
      <c r="L116" s="1030">
        <f t="shared" si="34"/>
        <v>0.72040000000000004</v>
      </c>
      <c r="M116" s="1031">
        <f t="shared" si="34"/>
        <v>0.72040000000000004</v>
      </c>
    </row>
    <row r="117" spans="1:13" ht="12.75">
      <c r="A117" s="1032" t="s">
        <v>902</v>
      </c>
      <c r="B117" s="1030">
        <f>ROUND(0.8808-0.006*B113,4)</f>
        <v>0.85980000000000001</v>
      </c>
      <c r="C117" s="1030">
        <f>B117</f>
        <v>0.85980000000000001</v>
      </c>
      <c r="D117" s="1030">
        <f>ROUND(0.8748-0.008*B113,4)</f>
        <v>0.8468</v>
      </c>
      <c r="E117" s="1030">
        <f t="shared" si="35"/>
        <v>0.8468</v>
      </c>
      <c r="F117" s="1030">
        <f t="shared" si="35"/>
        <v>0.8468</v>
      </c>
      <c r="G117" s="1030">
        <f t="shared" si="35"/>
        <v>0.8468</v>
      </c>
      <c r="H117" s="1030">
        <f t="shared" si="35"/>
        <v>0.8468</v>
      </c>
      <c r="I117" s="1030">
        <f>ROUND(0.7412-0.0095*B113,4)</f>
        <v>0.70799999999999996</v>
      </c>
      <c r="J117" s="1030">
        <f t="shared" si="34"/>
        <v>0.70799999999999996</v>
      </c>
      <c r="K117" s="1030">
        <f t="shared" si="34"/>
        <v>0.70799999999999996</v>
      </c>
      <c r="L117" s="1030">
        <f t="shared" si="34"/>
        <v>0.70799999999999996</v>
      </c>
      <c r="M117" s="1031">
        <f t="shared" si="34"/>
        <v>0.70799999999999996</v>
      </c>
    </row>
    <row r="118" spans="1:13" ht="13.5" thickBot="1">
      <c r="A118" s="1033" t="s">
        <v>903</v>
      </c>
      <c r="B118" s="1034">
        <f>ROUND(0.7275-0.01*B113,4)</f>
        <v>0.6925</v>
      </c>
      <c r="C118" s="1034">
        <f>B118</f>
        <v>0.6925</v>
      </c>
      <c r="D118" s="1034">
        <f>ROUND(0.7043-0.012*B113,4)</f>
        <v>0.6623</v>
      </c>
      <c r="E118" s="1034">
        <f>D118</f>
        <v>0.6623</v>
      </c>
      <c r="F118" s="1034">
        <f>E118</f>
        <v>0.6623</v>
      </c>
      <c r="G118" s="1034">
        <f>ROUND(0.6299-0.0122*B113,4)</f>
        <v>0.58720000000000006</v>
      </c>
      <c r="H118" s="1034">
        <f>G118</f>
        <v>0.58720000000000006</v>
      </c>
      <c r="I118" s="1034">
        <f>ROUND(0.5667-0.0136*B113,4)</f>
        <v>0.51910000000000001</v>
      </c>
      <c r="J118" s="1034">
        <f t="shared" si="34"/>
        <v>0.51910000000000001</v>
      </c>
      <c r="K118" s="1034">
        <f t="shared" si="34"/>
        <v>0.51910000000000001</v>
      </c>
      <c r="L118" s="1034">
        <f t="shared" si="34"/>
        <v>0.51910000000000001</v>
      </c>
      <c r="M118" s="1035">
        <f t="shared" si="34"/>
        <v>0.51910000000000001</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1" t="s">
        <v>2989</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3" t="s">
        <v>1007</v>
      </c>
      <c r="B18" s="1150" t="s">
        <v>1446</v>
      </c>
      <c r="C18" s="1127" t="s">
        <v>1447</v>
      </c>
      <c r="D18" s="1128"/>
      <c r="E18" s="1150">
        <v>1</v>
      </c>
      <c r="F18" s="1129" t="s">
        <v>1448</v>
      </c>
      <c r="G18" s="1130"/>
      <c r="H18" s="1101"/>
      <c r="I18" s="1101"/>
    </row>
    <row r="19" spans="1:9" s="1585" customFormat="1" ht="19.5" customHeight="1">
      <c r="A19" s="3453"/>
      <c r="B19" s="3453" t="s">
        <v>1449</v>
      </c>
      <c r="C19" s="1127" t="s">
        <v>1450</v>
      </c>
      <c r="D19" s="1128"/>
      <c r="E19" s="1150">
        <v>0.9</v>
      </c>
      <c r="F19" s="1129" t="s">
        <v>1451</v>
      </c>
      <c r="G19" s="1130"/>
      <c r="H19" s="1101"/>
      <c r="I19" s="1101"/>
    </row>
    <row r="20" spans="1:9" s="1585" customFormat="1" ht="19.5" customHeight="1">
      <c r="A20" s="3453"/>
      <c r="B20" s="3453"/>
      <c r="C20" s="1127" t="s">
        <v>1452</v>
      </c>
      <c r="D20" s="1128"/>
      <c r="E20" s="1150">
        <v>1.1000000000000001</v>
      </c>
      <c r="F20" s="1129" t="s">
        <v>1453</v>
      </c>
      <c r="G20" s="1130"/>
      <c r="H20" s="1101"/>
      <c r="I20" s="1101"/>
    </row>
    <row r="21" spans="1:9" s="1585" customFormat="1" ht="19.5" customHeight="1">
      <c r="A21" s="3453"/>
      <c r="B21" s="3453"/>
      <c r="C21" s="1127" t="s">
        <v>1454</v>
      </c>
      <c r="D21" s="1128"/>
      <c r="E21" s="1150">
        <v>0.8</v>
      </c>
      <c r="F21" s="1129" t="s">
        <v>1455</v>
      </c>
      <c r="G21" s="1130"/>
      <c r="H21" s="1101"/>
      <c r="I21" s="1101"/>
    </row>
    <row r="22" spans="1:9" s="1585" customFormat="1" ht="19.5" customHeight="1">
      <c r="A22" s="3453"/>
      <c r="B22" s="3453"/>
      <c r="C22" s="1127" t="s">
        <v>1456</v>
      </c>
      <c r="D22" s="1128"/>
      <c r="E22" s="1150">
        <v>0.5</v>
      </c>
      <c r="F22" s="1129"/>
      <c r="G22" s="1130"/>
      <c r="H22" s="1101"/>
      <c r="I22" s="1101"/>
    </row>
    <row r="23" spans="1:9" s="1585" customFormat="1" ht="19.5" customHeight="1">
      <c r="A23" s="3453" t="s">
        <v>1029</v>
      </c>
      <c r="B23" s="1150" t="s">
        <v>1446</v>
      </c>
      <c r="C23" s="1127" t="s">
        <v>1457</v>
      </c>
      <c r="D23" s="1128"/>
      <c r="E23" s="1150">
        <v>1</v>
      </c>
      <c r="F23" s="1129" t="s">
        <v>1458</v>
      </c>
      <c r="G23" s="1130"/>
      <c r="H23" s="1101"/>
      <c r="I23" s="1101"/>
    </row>
    <row r="24" spans="1:9" s="1585" customFormat="1" ht="19.5" customHeight="1">
      <c r="A24" s="3453"/>
      <c r="B24" s="3453" t="s">
        <v>1449</v>
      </c>
      <c r="C24" s="1127" t="s">
        <v>1459</v>
      </c>
      <c r="D24" s="1128"/>
      <c r="E24" s="1150">
        <v>0.5</v>
      </c>
      <c r="F24" s="1129"/>
      <c r="G24" s="1130"/>
      <c r="H24" s="1101"/>
      <c r="I24" s="1101"/>
    </row>
    <row r="25" spans="1:9" s="1585" customFormat="1" ht="19.5" customHeight="1">
      <c r="A25" s="3453"/>
      <c r="B25" s="3453"/>
      <c r="C25" s="1127" t="s">
        <v>1460</v>
      </c>
      <c r="D25" s="1128"/>
      <c r="E25" s="1150">
        <v>1.1000000000000001</v>
      </c>
      <c r="F25" s="1129"/>
      <c r="G25" s="1130"/>
      <c r="H25" s="1101"/>
      <c r="I25" s="1101"/>
    </row>
    <row r="26" spans="1:9" s="1585" customFormat="1" ht="19.5" customHeight="1">
      <c r="A26" s="3453"/>
      <c r="B26" s="3453"/>
      <c r="C26" s="1127" t="s">
        <v>1461</v>
      </c>
      <c r="D26" s="1128"/>
      <c r="E26" s="1150">
        <v>1.1000000000000001</v>
      </c>
      <c r="F26" s="1129"/>
      <c r="G26" s="1130"/>
      <c r="H26" s="1101"/>
      <c r="I26" s="1101"/>
    </row>
    <row r="27" spans="1:9" s="1585" customFormat="1" ht="19.5" customHeight="1">
      <c r="A27" s="3453"/>
      <c r="B27" s="3453"/>
      <c r="C27" s="1127" t="s">
        <v>1462</v>
      </c>
      <c r="D27" s="1128"/>
      <c r="E27" s="1150">
        <v>0.9</v>
      </c>
      <c r="F27" s="1129" t="s">
        <v>1463</v>
      </c>
      <c r="G27" s="1130"/>
      <c r="H27" s="1101"/>
      <c r="I27" s="1101"/>
    </row>
    <row r="28" spans="1:9" s="1585" customFormat="1" ht="19.5" customHeight="1">
      <c r="A28" s="3453"/>
      <c r="B28" s="3453"/>
      <c r="C28" s="1127" t="s">
        <v>1464</v>
      </c>
      <c r="D28" s="1128"/>
      <c r="E28" s="1150">
        <v>0.9</v>
      </c>
      <c r="F28" s="1129" t="s">
        <v>1465</v>
      </c>
      <c r="G28" s="1130"/>
      <c r="H28" s="1101"/>
      <c r="I28" s="1101"/>
    </row>
    <row r="29" spans="1:9" s="1585" customFormat="1" ht="19.5" customHeight="1">
      <c r="A29" s="3453"/>
      <c r="B29" s="3453"/>
      <c r="C29" s="1127" t="s">
        <v>1466</v>
      </c>
      <c r="D29" s="1128"/>
      <c r="E29" s="1150">
        <v>0.9</v>
      </c>
      <c r="F29" s="1129" t="s">
        <v>1467</v>
      </c>
      <c r="G29" s="1130"/>
      <c r="H29" s="1101"/>
      <c r="I29" s="1101"/>
    </row>
    <row r="30" spans="1:9" s="1585" customFormat="1" ht="19.5" customHeight="1">
      <c r="A30" s="3453"/>
      <c r="B30" s="3453"/>
      <c r="C30" s="1127" t="s">
        <v>1468</v>
      </c>
      <c r="D30" s="1128"/>
      <c r="E30" s="1150">
        <v>0.9</v>
      </c>
      <c r="F30" s="1129" t="s">
        <v>1469</v>
      </c>
      <c r="G30" s="1130"/>
      <c r="H30" s="1101"/>
      <c r="I30" s="1101"/>
    </row>
    <row r="31" spans="1:9" s="1585" customFormat="1" ht="19.5" customHeight="1">
      <c r="A31" s="3453"/>
      <c r="B31" s="3453"/>
      <c r="C31" s="1127" t="s">
        <v>1470</v>
      </c>
      <c r="D31" s="1128"/>
      <c r="E31" s="1150">
        <v>0.8</v>
      </c>
      <c r="F31" s="1129" t="s">
        <v>1471</v>
      </c>
      <c r="G31" s="1130"/>
      <c r="H31" s="1101"/>
      <c r="I31" s="1101"/>
    </row>
    <row r="32" spans="1:9" s="1585" customFormat="1" ht="19.5" customHeight="1">
      <c r="A32" s="3453"/>
      <c r="B32" s="3453"/>
      <c r="C32" s="1127" t="s">
        <v>1472</v>
      </c>
      <c r="D32" s="1128"/>
      <c r="E32" s="1150">
        <v>0.8</v>
      </c>
      <c r="F32" s="1129" t="s">
        <v>1473</v>
      </c>
      <c r="G32" s="1130"/>
      <c r="H32" s="1101"/>
      <c r="I32" s="1101"/>
    </row>
    <row r="33" spans="1:9" s="1585" customFormat="1" ht="19.5" customHeight="1">
      <c r="A33" s="3453" t="s">
        <v>1474</v>
      </c>
      <c r="B33" s="1150" t="s">
        <v>1446</v>
      </c>
      <c r="C33" s="1127" t="s">
        <v>1475</v>
      </c>
      <c r="D33" s="1128"/>
      <c r="E33" s="1150">
        <v>1</v>
      </c>
      <c r="F33" s="1129" t="s">
        <v>1476</v>
      </c>
      <c r="G33" s="1130"/>
      <c r="H33" s="1101"/>
      <c r="I33" s="1101"/>
    </row>
    <row r="34" spans="1:9" s="1585" customFormat="1" ht="19.5" customHeight="1">
      <c r="A34" s="3453"/>
      <c r="B34" s="1150" t="s">
        <v>1449</v>
      </c>
      <c r="C34" s="1127" t="s">
        <v>1477</v>
      </c>
      <c r="D34" s="1128"/>
      <c r="E34" s="1150">
        <v>1.5</v>
      </c>
      <c r="F34" s="1129" t="s">
        <v>1478</v>
      </c>
      <c r="G34" s="1130"/>
      <c r="H34" s="1101"/>
      <c r="I34" s="1101"/>
    </row>
    <row r="35" spans="1:9" s="1585" customFormat="1" ht="19.5" customHeight="1">
      <c r="A35" s="3453" t="s">
        <v>1432</v>
      </c>
      <c r="B35" s="1150" t="s">
        <v>1446</v>
      </c>
      <c r="C35" s="1127" t="s">
        <v>1479</v>
      </c>
      <c r="D35" s="1128"/>
      <c r="E35" s="1150">
        <v>1</v>
      </c>
      <c r="F35" s="1129" t="s">
        <v>1480</v>
      </c>
      <c r="G35" s="1130"/>
      <c r="H35" s="1101"/>
      <c r="I35" s="1101"/>
    </row>
    <row r="36" spans="1:9" s="1585" customFormat="1" ht="19.5" customHeight="1">
      <c r="A36" s="3453"/>
      <c r="B36" s="3453" t="s">
        <v>1449</v>
      </c>
      <c r="C36" s="1127" t="s">
        <v>1481</v>
      </c>
      <c r="D36" s="1128"/>
      <c r="E36" s="1150">
        <v>1</v>
      </c>
      <c r="F36" s="1129" t="s">
        <v>1482</v>
      </c>
      <c r="G36" s="1130"/>
      <c r="H36" s="1101"/>
      <c r="I36" s="1101"/>
    </row>
    <row r="37" spans="1:9" s="1585" customFormat="1" ht="19.5" customHeight="1">
      <c r="A37" s="3453"/>
      <c r="B37" s="3453"/>
      <c r="C37" s="1127" t="s">
        <v>1483</v>
      </c>
      <c r="D37" s="1128"/>
      <c r="E37" s="1150">
        <v>1.5</v>
      </c>
      <c r="F37" s="1129" t="s">
        <v>1484</v>
      </c>
      <c r="G37" s="1130"/>
      <c r="H37" s="1101"/>
      <c r="I37" s="1101"/>
    </row>
    <row r="38" spans="1:9" s="1585" customFormat="1" ht="19.5" customHeight="1">
      <c r="A38" s="3453"/>
      <c r="B38" s="3453"/>
      <c r="C38" s="1127" t="s">
        <v>1485</v>
      </c>
      <c r="D38" s="1128"/>
      <c r="E38" s="1150">
        <v>1</v>
      </c>
      <c r="F38" s="1129" t="s">
        <v>1486</v>
      </c>
      <c r="G38" s="1130"/>
      <c r="H38" s="1101"/>
      <c r="I38" s="1101"/>
    </row>
    <row r="39" spans="1:9" s="1585" customFormat="1" ht="19.5" customHeight="1">
      <c r="A39" s="3453"/>
      <c r="B39" s="3453"/>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53" t="s">
        <v>1501</v>
      </c>
      <c r="C61" s="1064" t="s">
        <v>1502</v>
      </c>
      <c r="D61" s="1064" t="s">
        <v>1503</v>
      </c>
      <c r="E61" s="1135">
        <v>0.5</v>
      </c>
      <c r="F61" s="1150">
        <v>80</v>
      </c>
      <c r="H61" s="1101">
        <f>SUMIF(C59:C119,基准地价!C8,E59:E119)</f>
        <v>0</v>
      </c>
    </row>
    <row r="62" spans="1:8" s="1101" customFormat="1" ht="24">
      <c r="A62" s="1150">
        <v>2</v>
      </c>
      <c r="B62" s="3453"/>
      <c r="C62" s="1064" t="s">
        <v>1504</v>
      </c>
      <c r="D62" s="1064" t="s">
        <v>1505</v>
      </c>
      <c r="E62" s="1135">
        <v>0.5</v>
      </c>
      <c r="F62" s="1150">
        <v>80</v>
      </c>
    </row>
    <row r="63" spans="1:8" s="1101" customFormat="1" ht="36">
      <c r="A63" s="1150">
        <v>3</v>
      </c>
      <c r="B63" s="3453"/>
      <c r="C63" s="1064" t="s">
        <v>1506</v>
      </c>
      <c r="D63" s="1064" t="s">
        <v>1507</v>
      </c>
      <c r="E63" s="1135">
        <v>0.5</v>
      </c>
      <c r="F63" s="1150">
        <v>80</v>
      </c>
    </row>
    <row r="64" spans="1:8" s="1101" customFormat="1" ht="36">
      <c r="A64" s="1150">
        <v>4</v>
      </c>
      <c r="B64" s="3453"/>
      <c r="C64" s="1064" t="s">
        <v>1508</v>
      </c>
      <c r="D64" s="1064" t="s">
        <v>1509</v>
      </c>
      <c r="E64" s="1135">
        <v>0.4</v>
      </c>
      <c r="F64" s="1150">
        <v>60</v>
      </c>
    </row>
    <row r="65" spans="1:6" s="1101" customFormat="1" ht="36">
      <c r="A65" s="1150">
        <v>5</v>
      </c>
      <c r="B65" s="3453"/>
      <c r="C65" s="1064" t="s">
        <v>1510</v>
      </c>
      <c r="D65" s="1064" t="s">
        <v>1511</v>
      </c>
      <c r="E65" s="1135">
        <v>0.2</v>
      </c>
      <c r="F65" s="1150">
        <v>30</v>
      </c>
    </row>
    <row r="66" spans="1:6" s="1101" customFormat="1" ht="36">
      <c r="A66" s="1150">
        <v>6</v>
      </c>
      <c r="B66" s="3453"/>
      <c r="C66" s="1064" t="s">
        <v>1512</v>
      </c>
      <c r="D66" s="1064" t="s">
        <v>1513</v>
      </c>
      <c r="E66" s="1135">
        <v>0.3</v>
      </c>
      <c r="F66" s="1150">
        <v>50</v>
      </c>
    </row>
    <row r="67" spans="1:6" s="1101" customFormat="1" ht="36">
      <c r="A67" s="1150">
        <v>7</v>
      </c>
      <c r="B67" s="3453"/>
      <c r="C67" s="1064" t="s">
        <v>1514</v>
      </c>
      <c r="D67" s="1064" t="s">
        <v>1515</v>
      </c>
      <c r="E67" s="1135">
        <v>0.2</v>
      </c>
      <c r="F67" s="1150">
        <v>30</v>
      </c>
    </row>
    <row r="68" spans="1:6" s="1101" customFormat="1" ht="36">
      <c r="A68" s="1150">
        <v>8</v>
      </c>
      <c r="B68" s="3453"/>
      <c r="C68" s="1064" t="s">
        <v>1516</v>
      </c>
      <c r="D68" s="1064" t="s">
        <v>1517</v>
      </c>
      <c r="E68" s="1135">
        <v>0.2</v>
      </c>
      <c r="F68" s="1150">
        <v>30</v>
      </c>
    </row>
    <row r="69" spans="1:6" s="1101" customFormat="1" ht="36">
      <c r="A69" s="1150">
        <v>9</v>
      </c>
      <c r="B69" s="3453"/>
      <c r="C69" s="1064" t="s">
        <v>1518</v>
      </c>
      <c r="D69" s="1064" t="s">
        <v>1519</v>
      </c>
      <c r="E69" s="1135">
        <v>0.2</v>
      </c>
      <c r="F69" s="1150">
        <v>30</v>
      </c>
    </row>
    <row r="70" spans="1:6" s="1101" customFormat="1" ht="48">
      <c r="A70" s="1150">
        <v>10</v>
      </c>
      <c r="B70" s="3453"/>
      <c r="C70" s="1064" t="s">
        <v>1520</v>
      </c>
      <c r="D70" s="1064" t="s">
        <v>1521</v>
      </c>
      <c r="E70" s="1135">
        <v>0.2</v>
      </c>
      <c r="F70" s="1150">
        <v>30</v>
      </c>
    </row>
    <row r="71" spans="1:6" s="1101" customFormat="1" ht="48">
      <c r="A71" s="1150">
        <v>11</v>
      </c>
      <c r="B71" s="3453"/>
      <c r="C71" s="1064" t="s">
        <v>1522</v>
      </c>
      <c r="D71" s="1064" t="s">
        <v>1523</v>
      </c>
      <c r="E71" s="1135">
        <v>0.2</v>
      </c>
      <c r="F71" s="1150">
        <v>30</v>
      </c>
    </row>
    <row r="72" spans="1:6" s="1101" customFormat="1" ht="36">
      <c r="A72" s="1150">
        <v>12</v>
      </c>
      <c r="B72" s="3453"/>
      <c r="C72" s="1064" t="s">
        <v>1524</v>
      </c>
      <c r="D72" s="1064" t="s">
        <v>1525</v>
      </c>
      <c r="E72" s="1135">
        <v>0.5</v>
      </c>
      <c r="F72" s="1150">
        <v>80</v>
      </c>
    </row>
    <row r="73" spans="1:6" s="1101" customFormat="1" ht="24">
      <c r="A73" s="1150">
        <v>13</v>
      </c>
      <c r="B73" s="3453"/>
      <c r="C73" s="1064" t="s">
        <v>1526</v>
      </c>
      <c r="D73" s="1064" t="s">
        <v>1527</v>
      </c>
      <c r="E73" s="1135">
        <v>0.4</v>
      </c>
      <c r="F73" s="1150">
        <v>60</v>
      </c>
    </row>
    <row r="74" spans="1:6" s="1101" customFormat="1" ht="24">
      <c r="A74" s="1150">
        <v>14</v>
      </c>
      <c r="B74" s="3453"/>
      <c r="C74" s="1064" t="s">
        <v>1528</v>
      </c>
      <c r="D74" s="1064" t="s">
        <v>1529</v>
      </c>
      <c r="E74" s="1135">
        <v>0.2</v>
      </c>
      <c r="F74" s="1150">
        <v>30</v>
      </c>
    </row>
    <row r="75" spans="1:6" s="1101" customFormat="1" ht="24">
      <c r="A75" s="1150">
        <v>15</v>
      </c>
      <c r="B75" s="3453"/>
      <c r="C75" s="1064" t="s">
        <v>1530</v>
      </c>
      <c r="D75" s="1064" t="s">
        <v>1531</v>
      </c>
      <c r="E75" s="1135">
        <v>0.2</v>
      </c>
      <c r="F75" s="1150">
        <v>30</v>
      </c>
    </row>
    <row r="76" spans="1:6" s="1101" customFormat="1" ht="24">
      <c r="A76" s="1150">
        <v>16</v>
      </c>
      <c r="B76" s="3453" t="s">
        <v>1532</v>
      </c>
      <c r="C76" s="1064" t="s">
        <v>1533</v>
      </c>
      <c r="D76" s="1064" t="s">
        <v>1534</v>
      </c>
      <c r="E76" s="1135">
        <v>0.5</v>
      </c>
      <c r="F76" s="1150">
        <v>80</v>
      </c>
    </row>
    <row r="77" spans="1:6" s="1101" customFormat="1" ht="24">
      <c r="A77" s="1150">
        <v>17</v>
      </c>
      <c r="B77" s="3453"/>
      <c r="C77" s="1064" t="s">
        <v>1535</v>
      </c>
      <c r="D77" s="1064" t="s">
        <v>1536</v>
      </c>
      <c r="E77" s="1135">
        <v>0.5</v>
      </c>
      <c r="F77" s="1150">
        <v>80</v>
      </c>
    </row>
    <row r="78" spans="1:6" s="1101" customFormat="1" ht="24">
      <c r="A78" s="1150">
        <v>18</v>
      </c>
      <c r="B78" s="3453"/>
      <c r="C78" s="1064" t="s">
        <v>1537</v>
      </c>
      <c r="D78" s="1064" t="s">
        <v>1538</v>
      </c>
      <c r="E78" s="1135">
        <v>0.2</v>
      </c>
      <c r="F78" s="1150">
        <v>30</v>
      </c>
    </row>
    <row r="79" spans="1:6" s="1101" customFormat="1" ht="24">
      <c r="A79" s="1150">
        <v>19</v>
      </c>
      <c r="B79" s="3453"/>
      <c r="C79" s="1064" t="s">
        <v>1539</v>
      </c>
      <c r="D79" s="1064" t="s">
        <v>1540</v>
      </c>
      <c r="E79" s="1135">
        <v>0.5</v>
      </c>
      <c r="F79" s="1150">
        <v>80</v>
      </c>
    </row>
    <row r="80" spans="1:6" s="1101" customFormat="1" ht="36">
      <c r="A80" s="1150">
        <v>20</v>
      </c>
      <c r="B80" s="3453"/>
      <c r="C80" s="1064" t="s">
        <v>1541</v>
      </c>
      <c r="D80" s="1064" t="s">
        <v>1542</v>
      </c>
      <c r="E80" s="1135">
        <v>0.2</v>
      </c>
      <c r="F80" s="1150">
        <v>30</v>
      </c>
    </row>
    <row r="81" spans="1:6" s="1101" customFormat="1" ht="36">
      <c r="A81" s="1150">
        <v>21</v>
      </c>
      <c r="B81" s="3453"/>
      <c r="C81" s="1064" t="s">
        <v>1543</v>
      </c>
      <c r="D81" s="1064" t="s">
        <v>1544</v>
      </c>
      <c r="E81" s="1135">
        <v>0.2</v>
      </c>
      <c r="F81" s="1150">
        <v>30</v>
      </c>
    </row>
    <row r="82" spans="1:6" s="1101" customFormat="1" ht="48">
      <c r="A82" s="1150">
        <v>22</v>
      </c>
      <c r="B82" s="3453"/>
      <c r="C82" s="1064" t="s">
        <v>1545</v>
      </c>
      <c r="D82" s="1064" t="s">
        <v>1546</v>
      </c>
      <c r="E82" s="1135">
        <v>0.2</v>
      </c>
      <c r="F82" s="1150">
        <v>30</v>
      </c>
    </row>
    <row r="83" spans="1:6" s="1101" customFormat="1" ht="48">
      <c r="A83" s="1150">
        <v>23</v>
      </c>
      <c r="B83" s="3453"/>
      <c r="C83" s="1064" t="s">
        <v>1547</v>
      </c>
      <c r="D83" s="1064" t="s">
        <v>1548</v>
      </c>
      <c r="E83" s="1135">
        <v>0.2</v>
      </c>
      <c r="F83" s="1150">
        <v>30</v>
      </c>
    </row>
    <row r="84" spans="1:6" s="1101" customFormat="1" ht="36">
      <c r="A84" s="1150">
        <v>24</v>
      </c>
      <c r="B84" s="3453"/>
      <c r="C84" s="1064" t="s">
        <v>1549</v>
      </c>
      <c r="D84" s="1064" t="s">
        <v>1550</v>
      </c>
      <c r="E84" s="1135">
        <v>0.2</v>
      </c>
      <c r="F84" s="1150">
        <v>30</v>
      </c>
    </row>
    <row r="85" spans="1:6" s="1101" customFormat="1" ht="36">
      <c r="A85" s="1150">
        <v>25</v>
      </c>
      <c r="B85" s="3453"/>
      <c r="C85" s="1064" t="s">
        <v>1551</v>
      </c>
      <c r="D85" s="1064" t="s">
        <v>1552</v>
      </c>
      <c r="E85" s="1135">
        <v>0.5</v>
      </c>
      <c r="F85" s="1150">
        <v>80</v>
      </c>
    </row>
    <row r="86" spans="1:6" s="1101" customFormat="1" ht="36">
      <c r="A86" s="1150">
        <v>26</v>
      </c>
      <c r="B86" s="3453"/>
      <c r="C86" s="1064" t="s">
        <v>1553</v>
      </c>
      <c r="D86" s="1064" t="s">
        <v>1554</v>
      </c>
      <c r="E86" s="1135">
        <v>0.2</v>
      </c>
      <c r="F86" s="1150">
        <v>30</v>
      </c>
    </row>
    <row r="87" spans="1:6" s="1101" customFormat="1" ht="36">
      <c r="A87" s="1150">
        <v>27</v>
      </c>
      <c r="B87" s="3453"/>
      <c r="C87" s="1064" t="s">
        <v>1555</v>
      </c>
      <c r="D87" s="1064" t="s">
        <v>1556</v>
      </c>
      <c r="E87" s="1135">
        <v>0.2</v>
      </c>
      <c r="F87" s="1150">
        <v>30</v>
      </c>
    </row>
    <row r="88" spans="1:6" s="1101" customFormat="1" ht="36">
      <c r="A88" s="1150">
        <v>28</v>
      </c>
      <c r="B88" s="3453"/>
      <c r="C88" s="1064" t="s">
        <v>1557</v>
      </c>
      <c r="D88" s="1064" t="s">
        <v>1558</v>
      </c>
      <c r="E88" s="1135">
        <v>0.2</v>
      </c>
      <c r="F88" s="1150">
        <v>30</v>
      </c>
    </row>
    <row r="89" spans="1:6" s="1101" customFormat="1" ht="24">
      <c r="A89" s="1150">
        <v>29</v>
      </c>
      <c r="B89" s="3453"/>
      <c r="C89" s="1064" t="s">
        <v>1559</v>
      </c>
      <c r="D89" s="1064" t="s">
        <v>1560</v>
      </c>
      <c r="E89" s="1135">
        <v>0.2</v>
      </c>
      <c r="F89" s="1150">
        <v>30</v>
      </c>
    </row>
    <row r="90" spans="1:6" s="1101" customFormat="1" ht="24">
      <c r="A90" s="1150">
        <v>30</v>
      </c>
      <c r="B90" s="3453"/>
      <c r="C90" s="1064" t="s">
        <v>1561</v>
      </c>
      <c r="D90" s="1064" t="s">
        <v>1562</v>
      </c>
      <c r="E90" s="1135">
        <v>0.2</v>
      </c>
      <c r="F90" s="1150">
        <v>30</v>
      </c>
    </row>
    <row r="91" spans="1:6" s="1101" customFormat="1" ht="36">
      <c r="A91" s="1150">
        <v>31</v>
      </c>
      <c r="B91" s="3453"/>
      <c r="C91" s="1064" t="s">
        <v>1563</v>
      </c>
      <c r="D91" s="1064" t="s">
        <v>1564</v>
      </c>
      <c r="E91" s="1135">
        <v>0.2</v>
      </c>
      <c r="F91" s="1150">
        <v>30</v>
      </c>
    </row>
    <row r="92" spans="1:6" s="1101" customFormat="1" ht="24">
      <c r="A92" s="1150">
        <v>32</v>
      </c>
      <c r="B92" s="3453" t="s">
        <v>1565</v>
      </c>
      <c r="C92" s="1150" t="s">
        <v>1566</v>
      </c>
      <c r="D92" s="1064" t="s">
        <v>1567</v>
      </c>
      <c r="E92" s="1135">
        <v>0.2</v>
      </c>
      <c r="F92" s="1150">
        <v>30</v>
      </c>
    </row>
    <row r="93" spans="1:6" s="1101" customFormat="1" ht="36">
      <c r="A93" s="1150">
        <v>33</v>
      </c>
      <c r="B93" s="3453"/>
      <c r="C93" s="1150" t="s">
        <v>1568</v>
      </c>
      <c r="D93" s="1064" t="s">
        <v>1569</v>
      </c>
      <c r="E93" s="1135">
        <v>0.2</v>
      </c>
      <c r="F93" s="1150">
        <v>30</v>
      </c>
    </row>
    <row r="94" spans="1:6" s="1101" customFormat="1" ht="48">
      <c r="A94" s="1150">
        <v>34</v>
      </c>
      <c r="B94" s="3453"/>
      <c r="C94" s="1150" t="s">
        <v>1570</v>
      </c>
      <c r="D94" s="1064" t="s">
        <v>1571</v>
      </c>
      <c r="E94" s="1135">
        <v>0.2</v>
      </c>
      <c r="F94" s="1150">
        <v>30</v>
      </c>
    </row>
    <row r="95" spans="1:6" s="1101" customFormat="1" ht="36">
      <c r="A95" s="1150">
        <v>35</v>
      </c>
      <c r="B95" s="3453"/>
      <c r="C95" s="1150" t="s">
        <v>1572</v>
      </c>
      <c r="D95" s="1064" t="s">
        <v>1573</v>
      </c>
      <c r="E95" s="1135">
        <v>0.2</v>
      </c>
      <c r="F95" s="1150">
        <v>30</v>
      </c>
    </row>
    <row r="96" spans="1:6" s="1101" customFormat="1" ht="48">
      <c r="A96" s="1150">
        <v>36</v>
      </c>
      <c r="B96" s="3453"/>
      <c r="C96" s="1064" t="s">
        <v>1574</v>
      </c>
      <c r="D96" s="1064" t="s">
        <v>1575</v>
      </c>
      <c r="E96" s="1135">
        <v>0.2</v>
      </c>
      <c r="F96" s="1150">
        <v>30</v>
      </c>
    </row>
    <row r="97" spans="1:6" s="1101" customFormat="1" ht="36">
      <c r="A97" s="1150">
        <v>37</v>
      </c>
      <c r="B97" s="3453"/>
      <c r="C97" s="1150" t="s">
        <v>1576</v>
      </c>
      <c r="D97" s="1064" t="s">
        <v>1577</v>
      </c>
      <c r="E97" s="1135">
        <v>0.2</v>
      </c>
      <c r="F97" s="1150">
        <v>30</v>
      </c>
    </row>
    <row r="98" spans="1:6" s="1101" customFormat="1" ht="36">
      <c r="A98" s="1150">
        <v>38</v>
      </c>
      <c r="B98" s="3453"/>
      <c r="C98" s="1150" t="s">
        <v>1578</v>
      </c>
      <c r="D98" s="1064" t="s">
        <v>1579</v>
      </c>
      <c r="E98" s="1135">
        <v>0.2</v>
      </c>
      <c r="F98" s="1150">
        <v>30</v>
      </c>
    </row>
    <row r="99" spans="1:6" s="1101" customFormat="1" ht="36">
      <c r="A99" s="1150">
        <v>39</v>
      </c>
      <c r="B99" s="3453" t="s">
        <v>1580</v>
      </c>
      <c r="C99" s="1150" t="s">
        <v>1581</v>
      </c>
      <c r="D99" s="1064" t="s">
        <v>1582</v>
      </c>
      <c r="E99" s="1135">
        <v>0.3</v>
      </c>
      <c r="F99" s="1150">
        <v>50</v>
      </c>
    </row>
    <row r="100" spans="1:6" s="1101" customFormat="1" ht="24">
      <c r="A100" s="1150">
        <v>40</v>
      </c>
      <c r="B100" s="3453"/>
      <c r="C100" s="1150" t="s">
        <v>1583</v>
      </c>
      <c r="D100" s="1064" t="s">
        <v>1584</v>
      </c>
      <c r="E100" s="1135">
        <v>0.2</v>
      </c>
      <c r="F100" s="1150">
        <v>30</v>
      </c>
    </row>
    <row r="101" spans="1:6" s="1101" customFormat="1" ht="36">
      <c r="A101" s="1150">
        <v>41</v>
      </c>
      <c r="B101" s="3453"/>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53" t="s">
        <v>1595</v>
      </c>
      <c r="C105" s="1150" t="s">
        <v>1596</v>
      </c>
      <c r="D105" s="1064" t="s">
        <v>1597</v>
      </c>
      <c r="E105" s="1135">
        <v>0.2</v>
      </c>
      <c r="F105" s="1150">
        <v>30</v>
      </c>
    </row>
    <row r="106" spans="1:6" s="1101" customFormat="1" ht="36">
      <c r="A106" s="1150">
        <v>46</v>
      </c>
      <c r="B106" s="3453"/>
      <c r="C106" s="1150" t="s">
        <v>1598</v>
      </c>
      <c r="D106" s="1064" t="s">
        <v>1599</v>
      </c>
      <c r="E106" s="1135">
        <v>0.2</v>
      </c>
      <c r="F106" s="1150">
        <v>30</v>
      </c>
    </row>
    <row r="107" spans="1:6" s="1101" customFormat="1" ht="36">
      <c r="A107" s="1150">
        <v>47</v>
      </c>
      <c r="B107" s="3453" t="s">
        <v>1600</v>
      </c>
      <c r="C107" s="1150" t="s">
        <v>1601</v>
      </c>
      <c r="D107" s="1064" t="s">
        <v>1602</v>
      </c>
      <c r="E107" s="1135">
        <v>0.3</v>
      </c>
      <c r="F107" s="1150">
        <v>50</v>
      </c>
    </row>
    <row r="108" spans="1:6" s="1101" customFormat="1" ht="36">
      <c r="A108" s="1150">
        <v>48</v>
      </c>
      <c r="B108" s="3453"/>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53" t="s">
        <v>1611</v>
      </c>
      <c r="C111" s="1150" t="s">
        <v>1612</v>
      </c>
      <c r="D111" s="1064" t="s">
        <v>1613</v>
      </c>
      <c r="E111" s="1135">
        <v>0.2</v>
      </c>
      <c r="F111" s="1150">
        <v>30</v>
      </c>
    </row>
    <row r="112" spans="1:6" s="1101" customFormat="1" ht="24">
      <c r="A112" s="1150">
        <v>52</v>
      </c>
      <c r="B112" s="3453"/>
      <c r="C112" s="1150" t="s">
        <v>1614</v>
      </c>
      <c r="D112" s="1064" t="s">
        <v>1615</v>
      </c>
      <c r="E112" s="1135">
        <v>0.2</v>
      </c>
      <c r="F112" s="1150">
        <v>30</v>
      </c>
    </row>
    <row r="113" spans="1:14" s="1101" customFormat="1" ht="24">
      <c r="A113" s="1150">
        <v>53</v>
      </c>
      <c r="B113" s="3453"/>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53" t="s">
        <v>1624</v>
      </c>
      <c r="C116" s="1150" t="s">
        <v>1625</v>
      </c>
      <c r="D116" s="1064" t="s">
        <v>1626</v>
      </c>
      <c r="E116" s="1135">
        <v>0.2</v>
      </c>
      <c r="F116" s="1150">
        <v>30</v>
      </c>
    </row>
    <row r="117" spans="1:14" ht="36">
      <c r="A117" s="1150">
        <v>57</v>
      </c>
      <c r="B117" s="3453"/>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52" t="s">
        <v>1633</v>
      </c>
      <c r="B121" s="3452"/>
      <c r="C121" s="3452"/>
      <c r="D121" s="3452"/>
      <c r="E121" s="3452"/>
      <c r="F121" s="3452"/>
      <c r="G121" s="3452"/>
      <c r="H121" s="3452"/>
      <c r="I121" s="3452"/>
      <c r="J121" s="3452"/>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67" t="s">
        <v>1039</v>
      </c>
      <c r="B1" s="3467"/>
      <c r="C1" s="3467"/>
      <c r="D1" s="3467"/>
      <c r="E1" s="3467"/>
      <c r="F1" s="3467"/>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68" t="s">
        <v>1052</v>
      </c>
      <c r="B2" s="3468"/>
      <c r="C2" s="3468"/>
      <c r="D2" s="3468"/>
      <c r="E2" s="3468"/>
      <c r="F2" s="3468"/>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69"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0"/>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10050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0.89929999999999999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1" t="s">
        <v>2079</v>
      </c>
      <c r="B1" s="3471"/>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rgb="FF92D050"/>
  </sheetPr>
  <dimension ref="A1:AH109"/>
  <sheetViews>
    <sheetView zoomScale="80" zoomScaleNormal="80" workbookViewId="0">
      <selection activeCell="I6" sqref="I6:L7"/>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74" t="s">
        <v>2576</v>
      </c>
      <c r="C1" s="3474"/>
      <c r="D1" s="3474"/>
      <c r="E1" s="3474"/>
      <c r="F1" s="3474"/>
      <c r="G1" s="3473" t="s">
        <v>2577</v>
      </c>
      <c r="H1" s="3473"/>
      <c r="I1" s="3473"/>
      <c r="J1" s="3473"/>
      <c r="K1" s="3473"/>
      <c r="L1" s="3473"/>
      <c r="N1" s="3473" t="s">
        <v>2578</v>
      </c>
      <c r="O1" s="3473"/>
      <c r="P1" s="3473"/>
      <c r="Q1" s="3473"/>
      <c r="R1" s="2619"/>
      <c r="S1" s="3473" t="s">
        <v>2579</v>
      </c>
      <c r="T1" s="3473"/>
      <c r="U1" s="3473"/>
      <c r="V1" s="3473"/>
      <c r="X1" s="3472" t="s">
        <v>2639</v>
      </c>
      <c r="Y1" s="3473"/>
      <c r="Z1" s="3473"/>
      <c r="AA1" s="3473"/>
      <c r="AB1" s="3473"/>
      <c r="AD1" s="3472" t="s">
        <v>2643</v>
      </c>
      <c r="AE1" s="3473"/>
      <c r="AF1" s="3473"/>
      <c r="AG1" s="3473"/>
      <c r="AH1" s="3473"/>
    </row>
    <row r="2" spans="1:34" s="2720" customFormat="1" ht="14.25" thickBot="1">
      <c r="B2" s="2728" t="s">
        <v>2580</v>
      </c>
      <c r="C2" s="2728" t="s">
        <v>2641</v>
      </c>
      <c r="D2" s="2721" t="s">
        <v>1644</v>
      </c>
      <c r="E2" s="2721" t="s">
        <v>1949</v>
      </c>
      <c r="F2" s="2728" t="s">
        <v>2642</v>
      </c>
      <c r="G2" s="2724"/>
      <c r="H2" s="2723"/>
      <c r="I2" s="2728" t="s">
        <v>2954</v>
      </c>
      <c r="J2" s="2721" t="s">
        <v>2956</v>
      </c>
      <c r="K2" s="2721" t="s">
        <v>2957</v>
      </c>
      <c r="L2" s="2728" t="s">
        <v>2958</v>
      </c>
      <c r="N2" s="2728" t="s">
        <v>2580</v>
      </c>
      <c r="O2" s="2721" t="s">
        <v>2955</v>
      </c>
      <c r="P2" s="2721" t="s">
        <v>1949</v>
      </c>
      <c r="Q2" s="2728" t="s">
        <v>2642</v>
      </c>
      <c r="R2" s="2722"/>
      <c r="S2" s="2728" t="s">
        <v>2580</v>
      </c>
      <c r="T2" s="2721" t="s">
        <v>2955</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2967</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2990</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6">
        <v>2</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2968</v>
      </c>
      <c r="X5" s="3070">
        <f>ROUND(IF(项目基本情况!B8="出让",SUMPRODUCT(PRODUCT(1+N5:N$26)),SUMPRODUCT(PRODUCT(1+N5:N$25))),4)</f>
        <v>1.5641</v>
      </c>
      <c r="Y5" s="3070">
        <f>ROUND(IF(项目基本情况!B8="出让",SUMPRODUCT(PRODUCT(1+O5:O$26)),SUMPRODUCT(PRODUCT(1+O5:O$25))),4)</f>
        <v>1.3736999999999999</v>
      </c>
      <c r="Z5" s="3070">
        <f t="shared" ref="Z5" si="11">Y5</f>
        <v>1.3736999999999999</v>
      </c>
      <c r="AA5" s="3070">
        <f>ROUND(IF(项目基本情况!B8="出让",SUMPRODUCT(PRODUCT(1+P5:P$26)),SUMPRODUCT(PRODUCT(1+P5:P$25))),4)</f>
        <v>1.6298999999999999</v>
      </c>
      <c r="AB5" s="3070">
        <f>ROUND(IF(项目基本情况!B8="出让",SUMPRODUCT(PRODUCT(1+Q5:Q$26)),SUMPRODUCT(PRODUCT(1+Q5:Q$25))),4)</f>
        <v>1.3588</v>
      </c>
      <c r="AD5" s="3071">
        <f>ROUND(AVERAGE(I5:I$26)/100,4)</f>
        <v>2.06E-2</v>
      </c>
      <c r="AE5" s="3071">
        <f>ROUND(AVERAGE(J5:J$26)/100,4)</f>
        <v>1.46E-2</v>
      </c>
      <c r="AF5" s="3071">
        <f t="shared" ref="AF5" si="12">AE5</f>
        <v>1.46E-2</v>
      </c>
      <c r="AG5" s="3071">
        <f>ROUND(AVERAGE(K5:K$26)/100,4)</f>
        <v>2.2599999999999999E-2</v>
      </c>
      <c r="AH5" s="3071">
        <f>ROUND(AVERAGE(L5:L$26)/100,4)</f>
        <v>1.4E-2</v>
      </c>
    </row>
    <row r="6" spans="1:34" s="2725" customFormat="1" ht="13.5" thickBot="1">
      <c r="A6" s="2620" t="s">
        <v>2991</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1">
        <v>0.6</v>
      </c>
      <c r="J6" s="3151">
        <v>0.37</v>
      </c>
      <c r="K6" s="3151">
        <v>0.63</v>
      </c>
      <c r="L6" s="3152">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1.5641</v>
      </c>
      <c r="Y6" s="2718">
        <f>ROUND(IF(项目基本情况!B8="出让",SUMPRODUCT(PRODUCT(1+O6:O$26)),SUMPRODUCT(PRODUCT(1+O6:O$25))),4)</f>
        <v>1.3736999999999999</v>
      </c>
      <c r="Z6" s="2718">
        <f t="shared" ref="Z6" si="21">Y6</f>
        <v>1.3736999999999999</v>
      </c>
      <c r="AA6" s="2718">
        <f>ROUND(IF(项目基本情况!B8="出让",SUMPRODUCT(PRODUCT(1+P6:P$26)),SUMPRODUCT(PRODUCT(1+P6:P$25))),4)</f>
        <v>1.6298999999999999</v>
      </c>
      <c r="AB6" s="2718">
        <f>ROUND(IF(项目基本情况!B8="出让",SUMPRODUCT(PRODUCT(1+Q6:Q$26)),SUMPRODUCT(PRODUCT(1+Q6:Q$25))),4)</f>
        <v>1.3588</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2987</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76">
        <v>2018</v>
      </c>
      <c r="H7" s="2623">
        <v>4</v>
      </c>
      <c r="I7" s="3151">
        <v>0.96</v>
      </c>
      <c r="J7" s="3151">
        <v>1.03</v>
      </c>
      <c r="K7" s="3151">
        <v>0.92</v>
      </c>
      <c r="L7" s="3152">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2977</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76"/>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2978</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76"/>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2974</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82"/>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2965</v>
      </c>
      <c r="B11" s="3097">
        <v>439</v>
      </c>
      <c r="C11" s="3097">
        <v>327</v>
      </c>
      <c r="D11" s="3097">
        <f t="shared" si="54"/>
        <v>327</v>
      </c>
      <c r="E11" s="3097">
        <v>627</v>
      </c>
      <c r="F11" s="3098">
        <v>283</v>
      </c>
      <c r="G11" s="3481">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2969</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76"/>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76"/>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82"/>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81">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76"/>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76"/>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77"/>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75">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76"/>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76"/>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77"/>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75">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76"/>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76"/>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77"/>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2583</v>
      </c>
      <c r="B27" s="2625">
        <v>299</v>
      </c>
      <c r="C27" s="2625">
        <v>252</v>
      </c>
      <c r="D27" s="2625">
        <f t="shared" si="76"/>
        <v>252</v>
      </c>
      <c r="E27" s="2625">
        <v>409</v>
      </c>
      <c r="F27" s="2626">
        <v>227</v>
      </c>
      <c r="G27" s="3478">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79"/>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79"/>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80"/>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2587</v>
      </c>
      <c r="B31" s="2663">
        <v>278</v>
      </c>
      <c r="C31" s="2663">
        <v>234</v>
      </c>
      <c r="D31" s="2663">
        <f t="shared" si="76"/>
        <v>234</v>
      </c>
      <c r="E31" s="2663">
        <v>379</v>
      </c>
      <c r="F31" s="2664">
        <v>220</v>
      </c>
      <c r="G31" s="3475">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76"/>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76"/>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2590</v>
      </c>
      <c r="B34" s="2633">
        <f>B33/(1+N33)</f>
        <v>275.19025476197027</v>
      </c>
      <c r="C34" s="2665">
        <v>232</v>
      </c>
      <c r="D34" s="2665">
        <f t="shared" si="76"/>
        <v>232</v>
      </c>
      <c r="E34" s="2633">
        <f t="shared" si="87"/>
        <v>375.65990977608692</v>
      </c>
      <c r="F34" s="2633">
        <f t="shared" si="87"/>
        <v>214.12518283971252</v>
      </c>
      <c r="G34" s="3477"/>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2591</v>
      </c>
      <c r="B35" s="2625">
        <v>275</v>
      </c>
      <c r="C35" s="2625">
        <v>232</v>
      </c>
      <c r="D35" s="2625">
        <f t="shared" si="76"/>
        <v>232</v>
      </c>
      <c r="E35" s="2625">
        <v>376</v>
      </c>
      <c r="F35" s="2626">
        <v>213</v>
      </c>
      <c r="G35" s="3475">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76">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76">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77">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2595</v>
      </c>
      <c r="B39" s="2625">
        <v>269</v>
      </c>
      <c r="C39" s="2625">
        <v>221</v>
      </c>
      <c r="D39" s="2625">
        <f t="shared" si="76"/>
        <v>221</v>
      </c>
      <c r="E39" s="2625">
        <v>373</v>
      </c>
      <c r="F39" s="2626">
        <v>196</v>
      </c>
      <c r="G39" s="3475">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76">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76">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77">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2599</v>
      </c>
      <c r="B43" s="2625">
        <v>220</v>
      </c>
      <c r="C43" s="2625">
        <v>187</v>
      </c>
      <c r="D43" s="2625">
        <f t="shared" si="76"/>
        <v>187</v>
      </c>
      <c r="E43" s="2625">
        <v>301</v>
      </c>
      <c r="F43" s="2626">
        <v>168</v>
      </c>
      <c r="G43" s="3475">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76">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76">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77">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2603</v>
      </c>
      <c r="B47" s="2663">
        <v>214</v>
      </c>
      <c r="C47" s="2663">
        <v>188</v>
      </c>
      <c r="D47" s="2663">
        <f t="shared" si="76"/>
        <v>188</v>
      </c>
      <c r="E47" s="2663">
        <v>289</v>
      </c>
      <c r="F47" s="2664">
        <v>166</v>
      </c>
      <c r="G47" s="3475">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76">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76">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77">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2607</v>
      </c>
      <c r="B51" s="2625">
        <v>188</v>
      </c>
      <c r="C51" s="2625">
        <v>165</v>
      </c>
      <c r="D51" s="2625">
        <f t="shared" si="76"/>
        <v>165</v>
      </c>
      <c r="E51" s="2625">
        <v>254</v>
      </c>
      <c r="F51" s="2626">
        <v>148</v>
      </c>
      <c r="G51" s="3475">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76">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76">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77">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2611</v>
      </c>
      <c r="B55" s="2647">
        <v>159</v>
      </c>
      <c r="C55" s="2647">
        <v>141</v>
      </c>
      <c r="D55" s="2647">
        <f t="shared" si="76"/>
        <v>141</v>
      </c>
      <c r="E55" s="2647">
        <v>195</v>
      </c>
      <c r="F55" s="2648">
        <v>122</v>
      </c>
      <c r="G55" s="3475">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76">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76">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77">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2615</v>
      </c>
      <c r="B59" s="2647">
        <v>138</v>
      </c>
      <c r="C59" s="2647">
        <v>131</v>
      </c>
      <c r="D59" s="2647">
        <f t="shared" si="76"/>
        <v>131</v>
      </c>
      <c r="E59" s="2647">
        <v>155</v>
      </c>
      <c r="F59" s="2648">
        <v>114</v>
      </c>
      <c r="G59" s="3475">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76">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76">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77">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2619</v>
      </c>
      <c r="B63" s="2663">
        <v>121</v>
      </c>
      <c r="C63" s="2663">
        <v>122</v>
      </c>
      <c r="D63" s="2663">
        <f t="shared" si="76"/>
        <v>122</v>
      </c>
      <c r="E63" s="2663">
        <v>124</v>
      </c>
      <c r="F63" s="2664">
        <v>107</v>
      </c>
      <c r="G63" s="3475">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76">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76">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77">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2623</v>
      </c>
      <c r="B67" s="2684">
        <v>111</v>
      </c>
      <c r="C67" s="2684">
        <v>114</v>
      </c>
      <c r="D67" s="2684">
        <f t="shared" si="76"/>
        <v>114</v>
      </c>
      <c r="E67" s="2684">
        <v>108</v>
      </c>
      <c r="F67" s="2685">
        <v>104</v>
      </c>
      <c r="G67" s="3475">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76">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76">
        <v>2003</v>
      </c>
      <c r="H69" s="2624">
        <v>2</v>
      </c>
      <c r="I69" s="2686"/>
      <c r="J69" s="2686"/>
      <c r="K69" s="2686"/>
      <c r="L69" s="2686"/>
      <c r="X69" s="2678"/>
      <c r="Y69" s="2678"/>
      <c r="Z69" s="2678"/>
    </row>
    <row r="70" spans="1:26" ht="13.5" thickBot="1">
      <c r="A70" s="2620" t="s">
        <v>2626</v>
      </c>
      <c r="B70" s="2688">
        <f t="shared" si="112"/>
        <v>107.25</v>
      </c>
      <c r="C70" s="2688">
        <f t="shared" si="112"/>
        <v>108.75</v>
      </c>
      <c r="D70" s="2688">
        <f t="shared" si="76"/>
        <v>108.75</v>
      </c>
      <c r="E70" s="2688">
        <f t="shared" si="113"/>
        <v>105.75</v>
      </c>
      <c r="F70" s="2688">
        <f t="shared" si="113"/>
        <v>102.5</v>
      </c>
      <c r="G70" s="3477">
        <v>2003</v>
      </c>
      <c r="H70" s="2689">
        <v>1</v>
      </c>
      <c r="I70" s="2686"/>
      <c r="J70" s="2686"/>
      <c r="K70" s="2686"/>
      <c r="L70" s="2686"/>
      <c r="S70" s="2628"/>
      <c r="T70" s="2629"/>
      <c r="U70" s="2629"/>
      <c r="X70" s="2678"/>
      <c r="Y70" s="2678"/>
      <c r="Z70" s="2678"/>
    </row>
    <row r="71" spans="1:26" ht="13.5" thickBot="1">
      <c r="A71" s="2620" t="s">
        <v>2627</v>
      </c>
      <c r="B71" s="2690">
        <v>106</v>
      </c>
      <c r="C71" s="2690">
        <v>107</v>
      </c>
      <c r="D71" s="2690">
        <f t="shared" si="76"/>
        <v>107</v>
      </c>
      <c r="E71" s="2690">
        <v>105</v>
      </c>
      <c r="F71" s="2691">
        <v>102</v>
      </c>
      <c r="G71" s="3475">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76">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76">
        <v>2002</v>
      </c>
      <c r="H73" s="2624">
        <v>2</v>
      </c>
      <c r="I73" s="2686"/>
      <c r="J73" s="2686"/>
      <c r="K73" s="2686"/>
      <c r="L73" s="2686"/>
      <c r="X73" s="2678"/>
      <c r="Y73" s="2678"/>
      <c r="Z73" s="2678"/>
    </row>
    <row r="74" spans="1:26" s="2655" customFormat="1" ht="13.5" thickBot="1">
      <c r="A74" s="2651" t="s">
        <v>2630</v>
      </c>
      <c r="B74" s="2692">
        <f t="shared" si="114"/>
        <v>103</v>
      </c>
      <c r="C74" s="2692">
        <f t="shared" si="114"/>
        <v>104</v>
      </c>
      <c r="D74" s="2692">
        <f t="shared" si="76"/>
        <v>104</v>
      </c>
      <c r="E74" s="2692">
        <f t="shared" si="115"/>
        <v>103.5</v>
      </c>
      <c r="F74" s="2692">
        <f t="shared" si="115"/>
        <v>100.5</v>
      </c>
      <c r="G74" s="3477">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5"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受贵公司委托，我公司对北京市丰台区吴家村首钢二通产业园区1615-615地块文化创意产业大厦项目出让国有建设用地使用权市场价格进行了预评估。</v>
      </c>
    </row>
    <row r="5" spans="1:4" ht="18.75">
      <c r="A5" s="1780" t="s">
        <v>1905</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丰台区吴家村首钢二通产业园区1615-615地块文化创意产业大厦项目出让国有建设用地使用权。根据《国有土地使用证》[]，估价对象（分摊）出让国有建设用地使用权面积为12883平方米。根据《建设工程规划许可证》[]、《出让合同》[]，估价对象规划建筑面积为53161平方米。</v>
      </c>
    </row>
    <row r="7" spans="1:4" ht="56.25">
      <c r="A7" s="1781" t="s">
        <v>2747</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2026</v>
      </c>
    </row>
    <row r="11" spans="1:4" ht="18.75">
      <c r="A11" s="1766" t="str">
        <f>TEXT(项目基本情况!D3,"yyyy年m月d日;;")&amp;IF(项目基本情况!B3=项目基本情况!D3,"（评估专业人员勘察现场之日）","")</f>
        <v>2019年4月15日</v>
      </c>
    </row>
    <row r="12" spans="1:4" ht="18.75">
      <c r="A12" s="1783" t="s">
        <v>2025</v>
      </c>
    </row>
    <row r="13" spans="1:4" ht="18.75">
      <c r="A13" s="1777" t="s">
        <v>2939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根据《国有土地使用证》[]，估价对象（分摊）出让国有建设用地使用权面积为12883平方米。根据《建设工程规划许可证》[]、《出让合同》[]，估价对象规划建筑面积为53161平方米。</v>
      </c>
    </row>
    <row r="21" spans="1:1" ht="18.75">
      <c r="A21" s="1777" t="s">
        <v>2074</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本次估价对象为出让国有建设用地使用权，《国有土地使用证》[]证载土地终止日期为办公2069年4月14日、车库2069年4月14日。截至估价期日，出让国有建设用地使用权剩余土地使用年限为。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4月15日，在规划利用条件下、设定土地开发程度为红线外“七通”、宗地内场地，设定用途为，剩余土地使用年限为的出让国有建设用地使用权价格。</v>
      </c>
    </row>
    <row r="26" spans="1:1" ht="18.75">
      <c r="A26" s="1777" t="str">
        <f>IF(项目基本情况!B9="市场价格","——",IF(项目基本情况!E8="抵押价格",定义!C54,IF(项目基本情况!E8="已注销",定义!C55,定义!C56)))</f>
        <v>——</v>
      </c>
    </row>
    <row r="27" spans="1:1" ht="18.7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7" t="str">
        <f>IF(项目基本情况!B9="市场价格","——",IF(项目基本情况!E9="——","",定义!C57))</f>
        <v>——</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F14"/>
  <sheetViews>
    <sheetView workbookViewId="0">
      <selection activeCell="AB6" sqref="AB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2947</v>
      </c>
      <c r="B1" s="3057"/>
      <c r="C1" s="3057"/>
      <c r="D1" s="3057"/>
      <c r="E1" s="3057"/>
      <c r="F1" s="3057"/>
    </row>
    <row r="2" spans="1:6" ht="14.25">
      <c r="A2" s="3058" t="s">
        <v>2942</v>
      </c>
      <c r="B2" s="3059">
        <f ca="1">SUMIF(B7:B14,"&lt;&gt;#ref!",B7:B14)</f>
        <v>58154</v>
      </c>
      <c r="C2" s="3058" t="s">
        <v>2943</v>
      </c>
      <c r="D2" s="3057"/>
      <c r="E2" s="3057"/>
      <c r="F2" s="3057"/>
    </row>
    <row r="3" spans="1:6" ht="14.25">
      <c r="A3" s="3058" t="s">
        <v>2975</v>
      </c>
      <c r="B3" s="3059">
        <f ca="1">ROUND(B2*10000/E3,0)</f>
        <v>12964</v>
      </c>
      <c r="C3" s="3058" t="s">
        <v>2078</v>
      </c>
      <c r="D3" s="3058" t="s">
        <v>2944</v>
      </c>
      <c r="E3" s="3059">
        <f ca="1">SUMIF(E7:E14,"&lt;&gt;#ref!",E7:E14)</f>
        <v>44858</v>
      </c>
      <c r="F3" s="3057"/>
    </row>
    <row r="4" spans="1:6" ht="14.25">
      <c r="A4" s="3058" t="s">
        <v>2951</v>
      </c>
      <c r="B4" s="3059">
        <f ca="1">ROUND(B2*10000/E4,0)</f>
        <v>45140</v>
      </c>
      <c r="C4" s="3058" t="s">
        <v>2078</v>
      </c>
      <c r="D4" s="3058" t="s">
        <v>2952</v>
      </c>
      <c r="E4" s="3059">
        <f ca="1">SUMIF(F7:F14,"&lt;&gt;#ref!",F7:F14)</f>
        <v>12883</v>
      </c>
      <c r="F4" s="3057"/>
    </row>
    <row r="5" spans="1:6" ht="14.25">
      <c r="A5" s="3060"/>
      <c r="B5" s="1867"/>
      <c r="C5" s="1867"/>
      <c r="D5" s="1867"/>
      <c r="E5" s="1867"/>
      <c r="F5" s="3057"/>
    </row>
    <row r="6" spans="1:6" ht="28.5">
      <c r="A6" s="3061" t="s">
        <v>2948</v>
      </c>
      <c r="B6" s="3058" t="s">
        <v>2945</v>
      </c>
      <c r="C6" s="3059"/>
      <c r="D6" s="1867"/>
      <c r="E6" s="3058" t="s">
        <v>2946</v>
      </c>
      <c r="F6" s="3058" t="s">
        <v>2950</v>
      </c>
    </row>
    <row r="7" spans="1:6" ht="14.25">
      <c r="A7" s="260" t="s">
        <v>2949</v>
      </c>
      <c r="B7" s="3062">
        <f ca="1">SUMIF(INDIRECT("'"&amp;A7&amp;"'"&amp;"!A:A"),"总价",INDIRECT("'"&amp;A7&amp;"'"&amp;"!B:B"))</f>
        <v>58154</v>
      </c>
      <c r="C7" s="3058" t="s">
        <v>2943</v>
      </c>
      <c r="D7" s="1867"/>
      <c r="E7" s="3063">
        <f ca="1">SUMIF(INDIRECT("'"&amp;A7&amp;"'"&amp;"!C:C"),"建筑面积",INDIRECT("'"&amp;A7&amp;"'"&amp;"!D:D"))</f>
        <v>44858</v>
      </c>
      <c r="F7" s="3063">
        <f ca="1">SUMIF(INDIRECT("'"&amp;A7&amp;"'"&amp;"!E:E"),"土地面积",INDIRECT("'"&amp;A7&amp;"'"&amp;"!F:F"))</f>
        <v>12883</v>
      </c>
    </row>
    <row r="8" spans="1:6" ht="14.25">
      <c r="A8" s="260"/>
      <c r="B8" s="3062" t="e">
        <f t="shared" ref="B8:B14" ca="1" si="0">SUMIF(INDIRECT("'"&amp;A8&amp;"'"&amp;"!A:A"),"总价",INDIRECT("'"&amp;A8&amp;"'"&amp;"!B:B"))</f>
        <v>#REF!</v>
      </c>
      <c r="C8" s="3058" t="s">
        <v>2943</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2943</v>
      </c>
      <c r="D9" s="1867"/>
      <c r="E9" s="3063" t="e">
        <f t="shared" ca="1" si="1"/>
        <v>#REF!</v>
      </c>
      <c r="F9" s="3063" t="e">
        <f t="shared" ca="1" si="2"/>
        <v>#REF!</v>
      </c>
    </row>
    <row r="10" spans="1:6" ht="14.25">
      <c r="A10" s="260"/>
      <c r="B10" s="3062" t="e">
        <f t="shared" ca="1" si="0"/>
        <v>#REF!</v>
      </c>
      <c r="C10" s="3058" t="s">
        <v>2943</v>
      </c>
      <c r="D10" s="1867"/>
      <c r="E10" s="3063" t="e">
        <f t="shared" ca="1" si="1"/>
        <v>#REF!</v>
      </c>
      <c r="F10" s="3063" t="e">
        <f t="shared" ca="1" si="2"/>
        <v>#REF!</v>
      </c>
    </row>
    <row r="11" spans="1:6" ht="14.25">
      <c r="A11" s="260"/>
      <c r="B11" s="3062" t="e">
        <f t="shared" ca="1" si="0"/>
        <v>#REF!</v>
      </c>
      <c r="C11" s="3058" t="s">
        <v>2943</v>
      </c>
      <c r="D11" s="1867"/>
      <c r="E11" s="3063" t="e">
        <f t="shared" ca="1" si="1"/>
        <v>#REF!</v>
      </c>
      <c r="F11" s="3063" t="e">
        <f t="shared" ca="1" si="2"/>
        <v>#REF!</v>
      </c>
    </row>
    <row r="12" spans="1:6" ht="14.25">
      <c r="A12" s="260"/>
      <c r="B12" s="3062" t="e">
        <f t="shared" ca="1" si="0"/>
        <v>#REF!</v>
      </c>
      <c r="C12" s="3058" t="s">
        <v>2943</v>
      </c>
      <c r="D12" s="1867"/>
      <c r="E12" s="3063" t="e">
        <f t="shared" ca="1" si="1"/>
        <v>#REF!</v>
      </c>
      <c r="F12" s="3063" t="e">
        <f t="shared" ca="1" si="2"/>
        <v>#REF!</v>
      </c>
    </row>
    <row r="13" spans="1:6" ht="14.25">
      <c r="A13" s="260"/>
      <c r="B13" s="3062" t="e">
        <f t="shared" ca="1" si="0"/>
        <v>#REF!</v>
      </c>
      <c r="C13" s="3058" t="s">
        <v>2943</v>
      </c>
      <c r="D13" s="1867"/>
      <c r="E13" s="3063" t="e">
        <f t="shared" ca="1" si="1"/>
        <v>#REF!</v>
      </c>
      <c r="F13" s="3063" t="e">
        <f t="shared" ca="1" si="2"/>
        <v>#REF!</v>
      </c>
    </row>
    <row r="14" spans="1:6" ht="14.25">
      <c r="A14" s="3056"/>
      <c r="B14" s="3062" t="e">
        <f t="shared" ca="1" si="0"/>
        <v>#REF!</v>
      </c>
      <c r="C14" s="3058" t="s">
        <v>2943</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A22" zoomScale="70" zoomScaleNormal="70" workbookViewId="0">
      <selection activeCell="J49" sqref="J49"/>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t="s">
        <v>1677</v>
      </c>
      <c r="D1" s="2036"/>
      <c r="E1" s="2352" t="s">
        <v>2374</v>
      </c>
      <c r="F1" s="2353">
        <f ca="1">J54</f>
        <v>0</v>
      </c>
      <c r="G1" s="774">
        <f>MATCH(C1,'数据-取费表'!A6:A16,0)+5</f>
        <v>6</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133898</v>
      </c>
      <c r="C2" s="1347"/>
      <c r="D2" s="2041"/>
      <c r="E2" s="2042"/>
      <c r="F2" s="2042"/>
      <c r="G2" s="1577"/>
      <c r="H2" s="1359"/>
      <c r="I2" s="2043"/>
      <c r="J2" s="2043"/>
      <c r="K2" s="2044"/>
      <c r="L2" s="2043"/>
      <c r="M2" s="2043"/>
    </row>
    <row r="3" spans="1:25" ht="18" customHeight="1">
      <c r="A3" s="1631" t="s">
        <v>1686</v>
      </c>
      <c r="B3" s="1388">
        <f ca="1">ROUND(B2*10000/'数据-汇总表'!E3,0)</f>
        <v>25187</v>
      </c>
      <c r="C3" s="1347"/>
      <c r="D3" s="2041"/>
      <c r="E3" s="2042"/>
      <c r="F3" s="2042"/>
      <c r="G3" s="1577"/>
      <c r="H3" s="776" t="s">
        <v>695</v>
      </c>
      <c r="I3" s="2043"/>
      <c r="J3" s="2043"/>
      <c r="K3" s="2044"/>
      <c r="L3" s="2043"/>
      <c r="M3" s="2043"/>
    </row>
    <row r="4" spans="1:25" ht="18" customHeight="1">
      <c r="A4" s="1632" t="s">
        <v>696</v>
      </c>
      <c r="B4" s="1348">
        <f ca="1">ROUND(B2*10000/'数据-汇总表'!D3,0)</f>
        <v>103934</v>
      </c>
      <c r="C4" s="428"/>
      <c r="D4" s="2041"/>
      <c r="E4" s="2042"/>
      <c r="F4" s="2042"/>
      <c r="G4" s="1577"/>
      <c r="H4" s="776"/>
      <c r="I4" s="2043"/>
      <c r="J4" s="2043"/>
      <c r="K4" s="2044"/>
      <c r="L4" s="2043"/>
      <c r="M4" s="2043"/>
    </row>
    <row r="5" spans="1:25" ht="18" customHeight="1" thickBot="1">
      <c r="A5" s="1633"/>
      <c r="B5" s="430">
        <f ca="1">ROUND(B2/('数据-汇总表'!D3/666.67),0)</f>
        <v>6929</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8722</v>
      </c>
      <c r="D7" s="2461" t="s">
        <v>2461</v>
      </c>
      <c r="E7" s="2455"/>
      <c r="F7" s="2456"/>
      <c r="G7" s="1579"/>
      <c r="H7" s="781">
        <v>1</v>
      </c>
      <c r="I7" s="782" t="s">
        <v>2458</v>
      </c>
      <c r="J7" s="53">
        <f ca="1">J8+J12+J14</f>
        <v>0</v>
      </c>
      <c r="K7" s="2461" t="s">
        <v>2461</v>
      </c>
      <c r="L7" s="2455"/>
      <c r="M7" s="2456"/>
    </row>
    <row r="8" spans="1:25" ht="18" customHeight="1">
      <c r="A8" s="1816" t="s">
        <v>1824</v>
      </c>
      <c r="B8" s="3442" t="s">
        <v>2463</v>
      </c>
      <c r="C8" s="1811">
        <f ca="1">ROUND(F8*F10*F9*(1-F11)/10000,0)</f>
        <v>8711</v>
      </c>
      <c r="D8" s="1808" t="s">
        <v>2534</v>
      </c>
      <c r="E8" s="61" t="s">
        <v>637</v>
      </c>
      <c r="F8" s="785">
        <f ca="1">INDIRECT("'数据-取费表'!u"&amp;$G$1)</f>
        <v>5.6</v>
      </c>
      <c r="G8" s="1579"/>
      <c r="H8" s="2469" t="s">
        <v>1824</v>
      </c>
      <c r="I8" s="3442" t="s">
        <v>2463</v>
      </c>
      <c r="J8" s="783">
        <f ca="1">ROUND(M8*M10*M9*(1-M11)/10000,0)</f>
        <v>0</v>
      </c>
      <c r="K8" s="341" t="s">
        <v>2534</v>
      </c>
      <c r="L8" s="784" t="s">
        <v>1738</v>
      </c>
      <c r="M8" s="785">
        <f ca="1">INDIRECT("'数据-取费表'!z"&amp;$G$1)</f>
        <v>0</v>
      </c>
    </row>
    <row r="9" spans="1:25" ht="18" customHeight="1">
      <c r="A9" s="2465"/>
      <c r="B9" s="3443"/>
      <c r="C9" s="1812"/>
      <c r="D9" s="1809"/>
      <c r="E9" s="61" t="s">
        <v>638</v>
      </c>
      <c r="F9" s="785">
        <f ca="1">IF(INDIRECT("'数据-取费表'!ah"&amp;$G$1)="",INDIRECT("'数据-取费表'!k"&amp;$G$1),INDIRECT("'数据-取费表'!ah"&amp;$G$1))</f>
        <v>44858</v>
      </c>
      <c r="G9" s="1579"/>
      <c r="H9" s="2454"/>
      <c r="I9" s="3443"/>
      <c r="J9" s="788"/>
      <c r="K9" s="789"/>
      <c r="L9" s="784" t="s">
        <v>1739</v>
      </c>
      <c r="M9" s="785">
        <f ca="1">F9</f>
        <v>44858</v>
      </c>
    </row>
    <row r="10" spans="1:25" ht="18" customHeight="1">
      <c r="A10" s="2458"/>
      <c r="B10" s="3444"/>
      <c r="C10" s="1812"/>
      <c r="D10" s="1809"/>
      <c r="E10" s="61" t="s">
        <v>639</v>
      </c>
      <c r="F10" s="785">
        <f ca="1">INDIRECT("'数据-取费表'!ai"&amp;$G$1)</f>
        <v>365</v>
      </c>
      <c r="G10" s="1579"/>
      <c r="H10" s="2454"/>
      <c r="I10" s="3444"/>
      <c r="J10" s="788"/>
      <c r="K10" s="789"/>
      <c r="L10" s="784" t="s">
        <v>1740</v>
      </c>
      <c r="M10" s="785">
        <f ca="1">INDIRECT("'数据-取费表'!ai"&amp;$G$1)</f>
        <v>365</v>
      </c>
    </row>
    <row r="11" spans="1:25" ht="18" customHeight="1">
      <c r="A11" s="786"/>
      <c r="B11" s="3445"/>
      <c r="C11" s="1812"/>
      <c r="D11" s="1809"/>
      <c r="E11" s="61" t="s">
        <v>640</v>
      </c>
      <c r="F11" s="794">
        <f ca="1">INDIRECT("'数据-取费表'!w"&amp;$G$1)</f>
        <v>0.05</v>
      </c>
      <c r="G11" s="1579"/>
      <c r="H11" s="2470"/>
      <c r="I11" s="3444"/>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11</v>
      </c>
      <c r="D12" s="2466" t="s">
        <v>2972</v>
      </c>
      <c r="E12" s="2463" t="s">
        <v>2464</v>
      </c>
      <c r="F12" s="2586" t="s">
        <v>3082</v>
      </c>
      <c r="G12" s="1579"/>
      <c r="H12" s="2526" t="s">
        <v>1825</v>
      </c>
      <c r="I12" s="2531" t="s">
        <v>2459</v>
      </c>
      <c r="J12" s="783">
        <f ca="1">ROUND(IF(M12="押一",J8/12*M13,IF(M12="押二",J8/12*2*M13,IF(M12="押三",J8/12*3*M13,J13*M13))),0)</f>
        <v>0</v>
      </c>
      <c r="K12" s="2466" t="s">
        <v>2972</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20377</v>
      </c>
      <c r="D15" s="1820" t="s">
        <v>642</v>
      </c>
      <c r="E15" s="795" t="s">
        <v>643</v>
      </c>
      <c r="F15" s="800">
        <f ca="1">INDIRECT("'数据-取费表'!y"&amp;$G$1)</f>
        <v>1</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13457</v>
      </c>
      <c r="D16" s="1965" t="s">
        <v>646</v>
      </c>
      <c r="E16" s="1966"/>
      <c r="F16" s="805"/>
      <c r="G16" s="1579"/>
      <c r="H16" s="803" t="s">
        <v>2069</v>
      </c>
      <c r="I16" s="2217" t="s">
        <v>2824</v>
      </c>
      <c r="J16" s="53">
        <f ca="1">C31</f>
        <v>20377</v>
      </c>
      <c r="K16" s="26"/>
      <c r="L16" s="801"/>
      <c r="M16" s="802"/>
    </row>
    <row r="17" spans="1:25" s="2050" customFormat="1" ht="18" customHeight="1">
      <c r="A17" s="803" t="s">
        <v>1849</v>
      </c>
      <c r="B17" s="784" t="s">
        <v>647</v>
      </c>
      <c r="C17" s="53">
        <f ca="1">ROUND(C16*F17,0)</f>
        <v>404</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480</v>
      </c>
      <c r="K18" s="26" t="s">
        <v>652</v>
      </c>
      <c r="L18" s="1968"/>
      <c r="M18" s="56"/>
    </row>
    <row r="19" spans="1:25" s="2050" customFormat="1" ht="18" customHeight="1">
      <c r="A19" s="803" t="s">
        <v>1851</v>
      </c>
      <c r="B19" s="784" t="s">
        <v>653</v>
      </c>
      <c r="C19" s="53">
        <f ca="1">ROUND(F19*(INDIRECT("'数据-取费表'!k"&amp;$G$1)+INDIRECT("'数据-取费表'!S"&amp;$G$1))/10000,0)</f>
        <v>897</v>
      </c>
      <c r="D19" s="784" t="s">
        <v>654</v>
      </c>
      <c r="E19" s="784" t="s">
        <v>655</v>
      </c>
      <c r="F19" s="56">
        <f>'数据-取费表'!B35</f>
        <v>200</v>
      </c>
      <c r="G19" s="1580"/>
      <c r="H19" s="803" t="s">
        <v>2069</v>
      </c>
      <c r="I19" s="784" t="s">
        <v>656</v>
      </c>
      <c r="J19" s="53">
        <f ca="1">ROUND(IF(项目基本情况!B11="自然人",J7*M19,J20+J21+J22),0)</f>
        <v>174</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202</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14960</v>
      </c>
      <c r="D21" s="261" t="s">
        <v>663</v>
      </c>
      <c r="E21" s="1968"/>
      <c r="F21" s="56"/>
      <c r="G21" s="1579"/>
      <c r="H21" s="1816" t="s">
        <v>1849</v>
      </c>
      <c r="I21" s="784" t="s">
        <v>664</v>
      </c>
      <c r="J21" s="53">
        <f ca="1">IF(K21="按租金收入计税",ROUND(J7*M21,1),ROUND(C31*F35*0.7,1))</f>
        <v>171.2</v>
      </c>
      <c r="K21" s="811" t="s">
        <v>665</v>
      </c>
      <c r="L21" s="784" t="s">
        <v>649</v>
      </c>
      <c r="M21" s="809">
        <f>IF(K21="按租金收入计税",'数据-取费表'!B51,'数据-取费表'!B50)</f>
        <v>1.2E-2</v>
      </c>
    </row>
    <row r="22" spans="1:25" s="2050" customFormat="1" ht="18" customHeight="1">
      <c r="A22" s="803" t="s">
        <v>1877</v>
      </c>
      <c r="B22" s="784" t="s">
        <v>666</v>
      </c>
      <c r="C22" s="53">
        <f ca="1">ROUND(C21*F22,0)</f>
        <v>299</v>
      </c>
      <c r="D22" s="812" t="s">
        <v>667</v>
      </c>
      <c r="E22" s="784" t="s">
        <v>649</v>
      </c>
      <c r="F22" s="809">
        <f>'数据-取费表'!B37</f>
        <v>0.02</v>
      </c>
      <c r="G22" s="1580"/>
      <c r="H22" s="1818" t="s">
        <v>1850</v>
      </c>
      <c r="I22" s="1808" t="s">
        <v>668</v>
      </c>
      <c r="J22" s="54">
        <f ca="1">ROUND(M22*M23/10000,0)</f>
        <v>3</v>
      </c>
      <c r="K22" s="814" t="s">
        <v>669</v>
      </c>
      <c r="L22" s="784" t="s">
        <v>670</v>
      </c>
      <c r="M22" s="640">
        <f>'数据-取费表'!B52</f>
        <v>3</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0.01</v>
      </c>
      <c r="G23" s="1580"/>
      <c r="H23" s="1819"/>
      <c r="I23" s="1810"/>
      <c r="J23" s="69"/>
      <c r="K23" s="816"/>
      <c r="L23" s="784" t="s">
        <v>674</v>
      </c>
      <c r="M23" s="785">
        <f ca="1">INDIRECT("'数据-取费表'!r"&amp;$G$1)</f>
        <v>10870.86</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306</v>
      </c>
      <c r="K24" s="1963" t="s">
        <v>677</v>
      </c>
      <c r="L24" s="784" t="s">
        <v>649</v>
      </c>
      <c r="M24" s="817">
        <f ca="1">INDIRECT("'数据-取费表'!Ak"&amp;$G$1)</f>
        <v>1.4999999999999999E-2</v>
      </c>
    </row>
    <row r="25" spans="1:25" s="2050" customFormat="1" ht="18" customHeight="1">
      <c r="A25" s="803" t="s">
        <v>1875</v>
      </c>
      <c r="B25" s="784" t="s">
        <v>2437</v>
      </c>
      <c r="C25" s="53">
        <f ca="1">ROUND(IF('数据-取费表'!B22&lt;=1,(C21+C22)*F26*F25/2,(C21+C22)*(POWER((1+F26),F25/2)-1)),0)</f>
        <v>725</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1.5E-3</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5.0000000000000001E-4</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0.01</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2821</v>
      </c>
      <c r="J27" s="799">
        <f ca="1">J7-J18</f>
        <v>-480</v>
      </c>
      <c r="K27" s="1965" t="s">
        <v>700</v>
      </c>
      <c r="L27" s="1967"/>
      <c r="M27" s="820"/>
    </row>
    <row r="28" spans="1:25" ht="18" customHeight="1">
      <c r="A28" s="803" t="s">
        <v>1875</v>
      </c>
      <c r="B28" s="784" t="s">
        <v>2438</v>
      </c>
      <c r="C28" s="53">
        <f ca="1">ROUND((C21+C22)*F28,0)</f>
        <v>3052</v>
      </c>
      <c r="D28" s="812" t="s">
        <v>701</v>
      </c>
      <c r="E28" s="795" t="s">
        <v>702</v>
      </c>
      <c r="F28" s="794">
        <f ca="1">INDIRECT("'数据-取费表'!q"&amp;$G$1)</f>
        <v>0.2</v>
      </c>
      <c r="G28" s="1579"/>
      <c r="H28" s="781" t="s">
        <v>1837</v>
      </c>
      <c r="I28" s="782" t="s">
        <v>703</v>
      </c>
      <c r="J28" s="783">
        <f ca="1">IF(J7&lt;&gt;0,ROUND(J27*(1-((1+M30)/(1+M28))^M29)/(M28-M30),0),0)</f>
        <v>0</v>
      </c>
      <c r="K28" s="814" t="s">
        <v>704</v>
      </c>
      <c r="L28" s="784" t="s">
        <v>705</v>
      </c>
      <c r="M28" s="794">
        <f ca="1">INDIRECT("'数据-取费表'!I"&amp;$G$1)</f>
        <v>0.05</v>
      </c>
    </row>
    <row r="29" spans="1:25" ht="18" customHeight="1">
      <c r="A29" s="803" t="s">
        <v>1849</v>
      </c>
      <c r="B29" s="784" t="s">
        <v>686</v>
      </c>
      <c r="C29" s="53">
        <f ca="1">ROUND(F23*F28,4)</f>
        <v>2E-3</v>
      </c>
      <c r="D29" s="812" t="s">
        <v>706</v>
      </c>
      <c r="E29" s="806"/>
      <c r="F29" s="807"/>
      <c r="G29" s="1579"/>
      <c r="H29" s="786"/>
      <c r="I29" s="787"/>
      <c r="J29" s="788"/>
      <c r="K29" s="821" t="s">
        <v>707</v>
      </c>
      <c r="L29" s="784" t="s">
        <v>708</v>
      </c>
      <c r="M29" s="822">
        <f ca="1">INDIRECT("'数据-取费表'!ag"&amp;$G$1)</f>
        <v>50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20377</v>
      </c>
      <c r="D31" s="2510"/>
      <c r="E31" s="2511"/>
      <c r="F31" s="2512"/>
      <c r="G31" s="1580"/>
      <c r="H31" s="823" t="s">
        <v>1872</v>
      </c>
      <c r="I31" s="2965" t="s">
        <v>2823</v>
      </c>
      <c r="J31" s="825">
        <f ca="1">ROUND(J28/(1+F45)^F46,0)</f>
        <v>0</v>
      </c>
      <c r="K31" s="826" t="s">
        <v>688</v>
      </c>
      <c r="L31" s="827"/>
      <c r="M31" s="828">
        <f ca="1">INDIRECT("'数据-取费表'!k"&amp;$G$1)</f>
        <v>44858</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1063</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639.70000000000005</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465.2</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171.2</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3.3</v>
      </c>
      <c r="D36" s="814" t="s">
        <v>669</v>
      </c>
      <c r="E36" s="784" t="s">
        <v>670</v>
      </c>
      <c r="F36" s="640">
        <f>'数据-取费表'!B52</f>
        <v>3</v>
      </c>
      <c r="G36" s="2048"/>
      <c r="H36" s="2051"/>
      <c r="I36" s="3483"/>
      <c r="J36" s="2065"/>
      <c r="K36" s="2066"/>
      <c r="L36" s="2065"/>
      <c r="M36" s="2065"/>
    </row>
    <row r="37" spans="1:18" ht="18" customHeight="1">
      <c r="A37" s="815"/>
      <c r="B37" s="793"/>
      <c r="C37" s="69"/>
      <c r="D37" s="816"/>
      <c r="E37" s="784" t="s">
        <v>674</v>
      </c>
      <c r="F37" s="785">
        <f ca="1">INDIRECT("'数据-取费表'!r"&amp;$G$1)</f>
        <v>10870.86</v>
      </c>
      <c r="G37" s="2048"/>
      <c r="H37" s="2051"/>
      <c r="I37" s="3483"/>
      <c r="J37" s="2063"/>
      <c r="K37" s="2064"/>
      <c r="L37" s="2063"/>
      <c r="M37" s="2063"/>
    </row>
    <row r="38" spans="1:18" ht="18" customHeight="1">
      <c r="A38" s="803" t="s">
        <v>1877</v>
      </c>
      <c r="B38" s="784" t="s">
        <v>676</v>
      </c>
      <c r="C38" s="53">
        <f ca="1">ROUND(C31*F38,1)</f>
        <v>305.7</v>
      </c>
      <c r="D38" s="1963" t="s">
        <v>691</v>
      </c>
      <c r="E38" s="784" t="s">
        <v>649</v>
      </c>
      <c r="F38" s="817">
        <f ca="1">INDIRECT("'数据-取费表'!Ak"&amp;$G$1)</f>
        <v>1.4999999999999999E-2</v>
      </c>
      <c r="G38" s="2048"/>
      <c r="H38" s="2063"/>
      <c r="I38" s="2067"/>
      <c r="J38" s="1974"/>
      <c r="K38" s="2068"/>
      <c r="L38" s="2063"/>
      <c r="M38" s="2063"/>
    </row>
    <row r="39" spans="1:18" ht="18" customHeight="1">
      <c r="A39" s="803" t="s">
        <v>1878</v>
      </c>
      <c r="B39" s="784" t="s">
        <v>679</v>
      </c>
      <c r="C39" s="53">
        <f ca="1">ROUND(C15*F39,1)</f>
        <v>30.6</v>
      </c>
      <c r="D39" s="1963" t="s">
        <v>680</v>
      </c>
      <c r="E39" s="784" t="s">
        <v>649</v>
      </c>
      <c r="F39" s="818">
        <f ca="1">INDIRECT("'数据-取费表'!Al"&amp;$G$1)</f>
        <v>1.5E-3</v>
      </c>
      <c r="G39" s="2048"/>
      <c r="H39" s="2063"/>
      <c r="I39" s="2067"/>
      <c r="J39" s="1974"/>
      <c r="K39" s="2068"/>
      <c r="L39" s="2063"/>
      <c r="M39" s="2063"/>
    </row>
    <row r="40" spans="1:18" ht="18" customHeight="1" thickBot="1">
      <c r="A40" s="2525" t="s">
        <v>1879</v>
      </c>
      <c r="B40" s="2511" t="s">
        <v>666</v>
      </c>
      <c r="C40" s="2509">
        <f ca="1">ROUND(C7*F40,1)</f>
        <v>87.2</v>
      </c>
      <c r="D40" s="2510" t="s">
        <v>683</v>
      </c>
      <c r="E40" s="2511" t="s">
        <v>649</v>
      </c>
      <c r="F40" s="2507">
        <f ca="1">INDIRECT("'数据-取费表'!Am"&amp;$G$1)</f>
        <v>0.01</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7659</v>
      </c>
      <c r="D42" s="1965" t="s">
        <v>694</v>
      </c>
      <c r="E42" s="1967"/>
      <c r="F42" s="820"/>
      <c r="G42" s="2048"/>
      <c r="H42" s="2048"/>
      <c r="I42" s="2048"/>
      <c r="J42" s="2048"/>
      <c r="K42" s="2069"/>
      <c r="L42" s="2048"/>
      <c r="M42" s="2048"/>
    </row>
    <row r="43" spans="1:18" ht="18" customHeight="1">
      <c r="A43" s="803" t="s">
        <v>1877</v>
      </c>
      <c r="B43" s="835" t="s">
        <v>711</v>
      </c>
      <c r="C43" s="836">
        <f ca="1">ROUND(C15*F43,0)</f>
        <v>1426</v>
      </c>
      <c r="D43" s="1352" t="s">
        <v>712</v>
      </c>
      <c r="E43" s="3074" t="s">
        <v>2960</v>
      </c>
      <c r="F43" s="3075">
        <f ca="1">INDIRECT("'数据-取费表'!j"&amp;$G$1)</f>
        <v>7.0000000000000007E-2</v>
      </c>
      <c r="G43" s="2048"/>
      <c r="H43" s="2048"/>
      <c r="I43" s="2048"/>
      <c r="J43" s="2048"/>
      <c r="K43" s="2069"/>
      <c r="L43" s="2048"/>
      <c r="M43" s="2048"/>
    </row>
    <row r="44" spans="1:18" ht="18" customHeight="1">
      <c r="A44" s="803" t="s">
        <v>1878</v>
      </c>
      <c r="B44" s="835" t="s">
        <v>713</v>
      </c>
      <c r="C44" s="1353">
        <f ca="1">C42-C43</f>
        <v>6233</v>
      </c>
      <c r="D44" s="463" t="s">
        <v>714</v>
      </c>
      <c r="E44" s="464"/>
      <c r="F44" s="465"/>
      <c r="G44" s="2048"/>
      <c r="H44" s="2048"/>
      <c r="I44" s="2048"/>
      <c r="J44" s="2048"/>
      <c r="K44" s="2069"/>
      <c r="L44" s="2048"/>
      <c r="M44" s="2048"/>
    </row>
    <row r="45" spans="1:18" ht="18" customHeight="1">
      <c r="A45" s="803" t="s">
        <v>1879</v>
      </c>
      <c r="B45" s="1352" t="s">
        <v>715</v>
      </c>
      <c r="C45" s="2991">
        <f ca="1">ROUND(-PV(F45,F46,C44,0),0)</f>
        <v>133898</v>
      </c>
      <c r="D45" s="1354" t="s">
        <v>716</v>
      </c>
      <c r="E45" s="806" t="s">
        <v>717</v>
      </c>
      <c r="F45" s="830">
        <f ca="1">INDIRECT("'数据-取费表'!h"&amp;$G$1)</f>
        <v>0.04</v>
      </c>
      <c r="G45" s="2048"/>
      <c r="H45" s="2048"/>
      <c r="I45" s="2048"/>
      <c r="J45" s="2048"/>
      <c r="K45" s="2069"/>
      <c r="L45" s="2048"/>
      <c r="M45" s="2048"/>
    </row>
    <row r="46" spans="1:18" ht="18" customHeight="1" thickBot="1">
      <c r="A46" s="831"/>
      <c r="B46" s="1355"/>
      <c r="C46" s="1356"/>
      <c r="D46" s="1357"/>
      <c r="E46" s="3076" t="s">
        <v>2963</v>
      </c>
      <c r="F46" s="828">
        <f ca="1">IF(INDIRECT("'数据-取费表'!af"&amp;$G$1)=0,INDIRECT("'数据-取费表'!ae"&amp;$G$1),INDIRECT("'数据-取费表'!af"&amp;$G$1))</f>
        <v>50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e">
        <f ca="1">IF(M48="住宅",0,IF(L49&gt;J52,L61,J61))</f>
        <v>#DIV/0!</v>
      </c>
      <c r="O47" s="2359" t="s">
        <v>2410</v>
      </c>
      <c r="P47" s="1579"/>
      <c r="Q47" s="1590"/>
      <c r="R47" s="1579"/>
    </row>
    <row r="48" spans="1:18" s="2045" customFormat="1" ht="18" customHeight="1" thickBot="1">
      <c r="A48" s="2070"/>
      <c r="C48" s="2073"/>
      <c r="D48" s="2074"/>
      <c r="E48" s="2074"/>
      <c r="F48" s="2075"/>
      <c r="G48" s="2076"/>
      <c r="I48" s="3099" t="s">
        <v>2344</v>
      </c>
      <c r="J48" s="2346"/>
      <c r="K48" s="3106" t="s">
        <v>2349</v>
      </c>
      <c r="L48" s="3110">
        <f ca="1">INDIRECT("'数据-取费表'!d"&amp;$G$1)</f>
        <v>50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7" t="s">
        <v>2351</v>
      </c>
      <c r="L49" s="1894">
        <f ca="1">INDIRECT("'数据-取费表'!f"&amp;$G$1)</f>
        <v>50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8" t="s">
        <v>2353</v>
      </c>
      <c r="L51" s="2349"/>
      <c r="O51" s="2366" t="s">
        <v>2383</v>
      </c>
      <c r="P51" s="2364" t="s">
        <v>2407</v>
      </c>
      <c r="Q51" s="2365">
        <f ca="1">C31</f>
        <v>20377</v>
      </c>
      <c r="R51" s="2364" t="s">
        <v>2380</v>
      </c>
    </row>
    <row r="52" spans="1:18" s="2045" customFormat="1" ht="18" customHeight="1" thickBot="1">
      <c r="A52" s="2082"/>
      <c r="F52" s="2071"/>
      <c r="I52" s="3100" t="s">
        <v>2348</v>
      </c>
      <c r="J52" s="3104">
        <f>IF(J50="",J51,J50+J51-YEAR('数据-取费表'!B3))</f>
        <v>0</v>
      </c>
      <c r="K52" s="3078" t="s">
        <v>2354</v>
      </c>
      <c r="L52" s="3111">
        <f ca="1">ROUND(-PV(INDIRECT("'数据-取费表'!h"&amp;$G$1),L49,(C40-C14*J36),0),0)</f>
        <v>1873</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2976</v>
      </c>
      <c r="J54" s="3105">
        <f ca="1">IF(M48="住宅",MAX(J52,L49-'数据-取费表'!B20),MIN(J52,L49-'数据-取费表'!B20))</f>
        <v>0</v>
      </c>
      <c r="K54" s="3484"/>
      <c r="L54" s="3485"/>
      <c r="O54" s="2366" t="s">
        <v>2388</v>
      </c>
      <c r="P54" s="2364" t="s">
        <v>2389</v>
      </c>
      <c r="Q54" s="2365">
        <f ca="1">J54</f>
        <v>0</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3"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8" t="s">
        <v>2362</v>
      </c>
      <c r="L57" s="1894">
        <f ca="1">IF(L49&lt;J52,"——",L49-J52)</f>
        <v>50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8" t="s">
        <v>2363</v>
      </c>
      <c r="L58" s="1894">
        <f ca="1">IF(L49&lt;J52,"——",IF(L56="比较法",L50,IF(L56="基准地价",L51,L52)))</f>
        <v>1873</v>
      </c>
      <c r="O58" s="2363" t="s">
        <v>2379</v>
      </c>
      <c r="P58" s="2364" t="s">
        <v>2405</v>
      </c>
      <c r="Q58" s="2365">
        <f ca="1">C41+J31</f>
        <v>0</v>
      </c>
      <c r="R58" s="2364" t="s">
        <v>2380</v>
      </c>
    </row>
    <row r="59" spans="1:18" s="2045" customFormat="1" ht="29.25" thickBot="1">
      <c r="A59" s="2082"/>
      <c r="B59" s="2083"/>
      <c r="C59" s="2083"/>
      <c r="I59" s="3117"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2940</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1873</v>
      </c>
      <c r="R69" s="2371" t="s">
        <v>2416</v>
      </c>
    </row>
    <row r="70" spans="1:18" s="2045" customFormat="1" ht="20.25" thickBot="1">
      <c r="A70" s="2082"/>
      <c r="B70" s="2083"/>
      <c r="C70" s="2083"/>
      <c r="K70" s="2072"/>
      <c r="O70" s="2366" t="s">
        <v>2384</v>
      </c>
      <c r="P70" s="2372" t="s">
        <v>2398</v>
      </c>
      <c r="Q70" s="2365">
        <f ca="1">ROUND(Q71-Q72*Q73,0)</f>
        <v>6233</v>
      </c>
      <c r="R70" s="2368"/>
    </row>
    <row r="71" spans="1:18" s="2045" customFormat="1" ht="15.75" thickBot="1">
      <c r="A71" s="2082"/>
      <c r="B71" s="2083"/>
      <c r="C71" s="2083"/>
      <c r="K71" s="2072"/>
      <c r="O71" s="2366" t="s">
        <v>2399</v>
      </c>
      <c r="P71" s="2372" t="s">
        <v>2400</v>
      </c>
      <c r="Q71" s="2365">
        <f ca="1">C42</f>
        <v>7659</v>
      </c>
      <c r="R71" s="2364" t="s">
        <v>2380</v>
      </c>
    </row>
    <row r="72" spans="1:18" s="2045" customFormat="1" ht="15.75" thickBot="1">
      <c r="A72" s="2082"/>
      <c r="B72" s="2083"/>
      <c r="C72" s="2083"/>
      <c r="K72" s="2072"/>
      <c r="O72" s="2366" t="s">
        <v>2401</v>
      </c>
      <c r="P72" s="2372" t="s">
        <v>2402</v>
      </c>
      <c r="Q72" s="2365">
        <f ca="1">C15</f>
        <v>20377</v>
      </c>
      <c r="R72" s="2364" t="s">
        <v>2380</v>
      </c>
    </row>
    <row r="73" spans="1:18" s="2045" customFormat="1" ht="15.75" thickBot="1">
      <c r="A73" s="2082"/>
      <c r="B73" s="2083"/>
      <c r="C73" s="2083"/>
      <c r="K73" s="2072"/>
      <c r="O73" s="2366" t="s">
        <v>2403</v>
      </c>
      <c r="P73" s="2372" t="s">
        <v>2404</v>
      </c>
      <c r="Q73" s="2367">
        <f ca="1">F43</f>
        <v>7.0000000000000007E-2</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2" t="s">
        <v>2471</v>
      </c>
      <c r="B1" s="3503"/>
      <c r="C1" s="3504"/>
      <c r="D1" s="3505">
        <f>SUM(I10,I15,I20,I21,I23)</f>
        <v>0</v>
      </c>
      <c r="E1" s="3505"/>
      <c r="F1" s="3505"/>
      <c r="G1" s="3505"/>
      <c r="H1" s="3505"/>
      <c r="I1" s="3506"/>
    </row>
    <row r="2" spans="1:9">
      <c r="A2" s="3492" t="s">
        <v>2472</v>
      </c>
      <c r="B2" s="3493" t="s">
        <v>2473</v>
      </c>
      <c r="C2" s="3493"/>
      <c r="D2" s="2472" t="s">
        <v>2474</v>
      </c>
      <c r="E2" s="2472" t="s">
        <v>2475</v>
      </c>
      <c r="F2" s="2472" t="s">
        <v>2476</v>
      </c>
      <c r="G2" s="2472" t="s">
        <v>2477</v>
      </c>
      <c r="H2" s="2472" t="s">
        <v>2478</v>
      </c>
      <c r="I2" s="2473" t="s">
        <v>2479</v>
      </c>
    </row>
    <row r="3" spans="1:9">
      <c r="A3" s="3492"/>
      <c r="B3" s="3493" t="s">
        <v>2480</v>
      </c>
      <c r="C3" s="3493"/>
      <c r="D3" s="2474"/>
      <c r="E3" s="2472"/>
      <c r="F3" s="2475"/>
      <c r="G3" s="2475"/>
      <c r="H3" s="2476"/>
      <c r="I3" s="2477">
        <f>ROUND(D3*E3*F3*G3*H3/10000,0)</f>
        <v>0</v>
      </c>
    </row>
    <row r="4" spans="1:9">
      <c r="A4" s="3492"/>
      <c r="B4" s="3493" t="s">
        <v>2481</v>
      </c>
      <c r="C4" s="3493"/>
      <c r="D4" s="2474"/>
      <c r="E4" s="2472"/>
      <c r="F4" s="2475"/>
      <c r="G4" s="2475"/>
      <c r="H4" s="2476"/>
      <c r="I4" s="2477">
        <f t="shared" ref="I4:I9" si="0">ROUND(D4*E4*F4*G4*H4/10000,0)</f>
        <v>0</v>
      </c>
    </row>
    <row r="5" spans="1:9">
      <c r="A5" s="3492"/>
      <c r="B5" s="3493" t="s">
        <v>2482</v>
      </c>
      <c r="C5" s="3493"/>
      <c r="D5" s="2474"/>
      <c r="E5" s="2472"/>
      <c r="F5" s="2475"/>
      <c r="G5" s="2475"/>
      <c r="H5" s="2476"/>
      <c r="I5" s="2477">
        <f t="shared" si="0"/>
        <v>0</v>
      </c>
    </row>
    <row r="6" spans="1:9">
      <c r="A6" s="3492"/>
      <c r="B6" s="3493" t="s">
        <v>2483</v>
      </c>
      <c r="C6" s="3493"/>
      <c r="D6" s="2474"/>
      <c r="E6" s="2472"/>
      <c r="F6" s="2475"/>
      <c r="G6" s="2475"/>
      <c r="H6" s="2476"/>
      <c r="I6" s="2477">
        <f t="shared" si="0"/>
        <v>0</v>
      </c>
    </row>
    <row r="7" spans="1:9">
      <c r="A7" s="3492"/>
      <c r="B7" s="3493" t="s">
        <v>2484</v>
      </c>
      <c r="C7" s="3493"/>
      <c r="D7" s="2474"/>
      <c r="E7" s="2472"/>
      <c r="F7" s="2475"/>
      <c r="G7" s="2475"/>
      <c r="H7" s="2476"/>
      <c r="I7" s="2477">
        <f t="shared" si="0"/>
        <v>0</v>
      </c>
    </row>
    <row r="8" spans="1:9">
      <c r="A8" s="3492"/>
      <c r="B8" s="3493" t="s">
        <v>2485</v>
      </c>
      <c r="C8" s="3493"/>
      <c r="D8" s="2474"/>
      <c r="E8" s="2472"/>
      <c r="F8" s="2475"/>
      <c r="G8" s="2475"/>
      <c r="H8" s="2476"/>
      <c r="I8" s="2477">
        <f t="shared" si="0"/>
        <v>0</v>
      </c>
    </row>
    <row r="9" spans="1:9">
      <c r="A9" s="3492"/>
      <c r="B9" s="3493" t="s">
        <v>2486</v>
      </c>
      <c r="C9" s="3493"/>
      <c r="D9" s="2474"/>
      <c r="E9" s="2472"/>
      <c r="F9" s="2475"/>
      <c r="G9" s="2475"/>
      <c r="H9" s="2476"/>
      <c r="I9" s="2477">
        <f t="shared" si="0"/>
        <v>0</v>
      </c>
    </row>
    <row r="10" spans="1:9">
      <c r="A10" s="3492"/>
      <c r="B10" s="3494" t="s">
        <v>2487</v>
      </c>
      <c r="C10" s="3494"/>
      <c r="D10" s="2478">
        <v>527</v>
      </c>
      <c r="E10" s="2478" t="e">
        <f>ROUND(D1*10000/D10/H9,0)</f>
        <v>#DIV/0!</v>
      </c>
      <c r="F10" s="2479"/>
      <c r="G10" s="2479"/>
      <c r="H10" s="2480"/>
      <c r="I10" s="2481">
        <f>SUM(I3:I9)</f>
        <v>0</v>
      </c>
    </row>
    <row r="11" spans="1:9" ht="14.25">
      <c r="A11" s="3492" t="s">
        <v>2488</v>
      </c>
      <c r="B11" s="3493" t="s">
        <v>2489</v>
      </c>
      <c r="C11" s="3493"/>
      <c r="D11" s="2474" t="s">
        <v>2490</v>
      </c>
      <c r="E11" s="2474" t="s">
        <v>2491</v>
      </c>
      <c r="F11" s="2475" t="s">
        <v>2492</v>
      </c>
      <c r="G11" s="2475" t="s">
        <v>2493</v>
      </c>
      <c r="H11" s="2482" t="s">
        <v>2494</v>
      </c>
      <c r="I11" s="2473" t="s">
        <v>2495</v>
      </c>
    </row>
    <row r="12" spans="1:9">
      <c r="A12" s="3492"/>
      <c r="B12" s="3493" t="s">
        <v>2496</v>
      </c>
      <c r="C12" s="3493"/>
      <c r="D12" s="2474"/>
      <c r="E12" s="2474"/>
      <c r="F12" s="2475"/>
      <c r="G12" s="2476"/>
      <c r="H12" s="2483"/>
      <c r="I12" s="2473">
        <f>ROUND(D12*E12*F12*G12/10000,0)</f>
        <v>0</v>
      </c>
    </row>
    <row r="13" spans="1:9">
      <c r="A13" s="3492"/>
      <c r="B13" s="3493" t="s">
        <v>2497</v>
      </c>
      <c r="C13" s="3493"/>
      <c r="D13" s="2474"/>
      <c r="E13" s="2474"/>
      <c r="F13" s="2475"/>
      <c r="G13" s="2476"/>
      <c r="H13" s="2483"/>
      <c r="I13" s="2473">
        <f>ROUND(D13*E13*F13*G13/10000,0)</f>
        <v>0</v>
      </c>
    </row>
    <row r="14" spans="1:9">
      <c r="A14" s="3492"/>
      <c r="B14" s="3493" t="s">
        <v>2498</v>
      </c>
      <c r="C14" s="3493"/>
      <c r="D14" s="2474"/>
      <c r="E14" s="2474"/>
      <c r="F14" s="2475"/>
      <c r="G14" s="2476"/>
      <c r="H14" s="2483"/>
      <c r="I14" s="2473">
        <f>ROUND(D14*E14*F14*G14/10000,0)</f>
        <v>0</v>
      </c>
    </row>
    <row r="15" spans="1:9">
      <c r="A15" s="3492"/>
      <c r="B15" s="3494" t="s">
        <v>2487</v>
      </c>
      <c r="C15" s="3494"/>
      <c r="D15" s="2478"/>
      <c r="E15" s="2478">
        <f>SUM(E12:E14)</f>
        <v>0</v>
      </c>
      <c r="F15" s="2479"/>
      <c r="G15" s="2476"/>
      <c r="H15" s="2483"/>
      <c r="I15" s="2484">
        <f>SUM(I12:I14)</f>
        <v>0</v>
      </c>
    </row>
    <row r="16" spans="1:9" ht="24">
      <c r="A16" s="3492" t="s">
        <v>2499</v>
      </c>
      <c r="B16" s="3493" t="s">
        <v>2500</v>
      </c>
      <c r="C16" s="3493"/>
      <c r="D16" s="2474" t="s">
        <v>2501</v>
      </c>
      <c r="E16" s="2485" t="s">
        <v>2502</v>
      </c>
      <c r="F16" s="2475" t="s">
        <v>2503</v>
      </c>
      <c r="G16" s="2476" t="s">
        <v>2493</v>
      </c>
      <c r="H16" s="2482" t="s">
        <v>2494</v>
      </c>
      <c r="I16" s="2473" t="s">
        <v>2495</v>
      </c>
    </row>
    <row r="17" spans="1:9" ht="14.25">
      <c r="A17" s="3492"/>
      <c r="B17" s="3493" t="s">
        <v>2504</v>
      </c>
      <c r="C17" s="3493"/>
      <c r="D17" s="2474"/>
      <c r="E17" s="2474"/>
      <c r="F17" s="2475"/>
      <c r="G17" s="2476"/>
      <c r="H17" s="2486"/>
      <c r="I17" s="2487">
        <f>ROUND(D17*E17*F17*G17/10000,0)</f>
        <v>0</v>
      </c>
    </row>
    <row r="18" spans="1:9" ht="14.25">
      <c r="A18" s="3492"/>
      <c r="B18" s="3493" t="s">
        <v>2505</v>
      </c>
      <c r="C18" s="3493"/>
      <c r="D18" s="2474"/>
      <c r="E18" s="2474"/>
      <c r="F18" s="2475"/>
      <c r="G18" s="2476"/>
      <c r="H18" s="2486"/>
      <c r="I18" s="2487">
        <f>ROUND(D18*E18*F18*G18/10000,0)</f>
        <v>0</v>
      </c>
    </row>
    <row r="19" spans="1:9" ht="14.25">
      <c r="A19" s="3492"/>
      <c r="B19" s="3493" t="s">
        <v>2506</v>
      </c>
      <c r="C19" s="3493"/>
      <c r="D19" s="2474"/>
      <c r="E19" s="2474"/>
      <c r="F19" s="2475"/>
      <c r="G19" s="2476"/>
      <c r="H19" s="2486"/>
      <c r="I19" s="2487">
        <f>ROUND(D19*E19*F19*G19/10000,0)</f>
        <v>0</v>
      </c>
    </row>
    <row r="20" spans="1:9">
      <c r="A20" s="3492"/>
      <c r="B20" s="3494" t="s">
        <v>2487</v>
      </c>
      <c r="C20" s="3494"/>
      <c r="D20" s="2478">
        <f>SUM(D17:D19)</f>
        <v>0</v>
      </c>
      <c r="E20" s="2478"/>
      <c r="F20" s="2479"/>
      <c r="G20" s="2476"/>
      <c r="H20" s="2483"/>
      <c r="I20" s="2484">
        <f>SUM(I17:I19)</f>
        <v>0</v>
      </c>
    </row>
    <row r="21" spans="1:9">
      <c r="A21" s="3492" t="s">
        <v>2507</v>
      </c>
      <c r="B21" s="3495"/>
      <c r="C21" s="3495"/>
      <c r="D21" s="3495"/>
      <c r="E21" s="3495"/>
      <c r="F21" s="3495"/>
      <c r="G21" s="3495"/>
      <c r="H21" s="2488">
        <v>0.1</v>
      </c>
      <c r="I21" s="2481">
        <f>ROUND(I10*H21,0)</f>
        <v>0</v>
      </c>
    </row>
    <row r="22" spans="1:9" ht="14.25">
      <c r="A22" s="3496" t="s">
        <v>2508</v>
      </c>
      <c r="B22" s="3497"/>
      <c r="C22" s="3498"/>
      <c r="D22" s="2489" t="s">
        <v>2509</v>
      </c>
      <c r="E22" s="2489" t="s">
        <v>2510</v>
      </c>
      <c r="F22" s="2490" t="s">
        <v>2511</v>
      </c>
      <c r="G22" s="2490" t="s">
        <v>2512</v>
      </c>
      <c r="H22" s="2482" t="s">
        <v>2513</v>
      </c>
      <c r="I22" s="2473" t="s">
        <v>2514</v>
      </c>
    </row>
    <row r="23" spans="1:9" ht="14.25" thickBot="1">
      <c r="A23" s="3499"/>
      <c r="B23" s="3500"/>
      <c r="C23" s="3501"/>
      <c r="D23" s="2491"/>
      <c r="E23" s="2491"/>
      <c r="F23" s="2491"/>
      <c r="G23" s="2492"/>
      <c r="H23" s="2493"/>
      <c r="I23" s="2494">
        <f>ROUND(E23*D23*F23*(1-G23)/10000,0)</f>
        <v>0</v>
      </c>
    </row>
    <row r="26" spans="1:9">
      <c r="A26" s="2495" t="s">
        <v>2515</v>
      </c>
      <c r="B26" s="2495"/>
      <c r="C26" s="2495"/>
      <c r="D26" s="2495"/>
      <c r="E26" s="3489">
        <f>C27-C30-C31-C32</f>
        <v>0</v>
      </c>
      <c r="F26" s="3489"/>
      <c r="G26" s="3489"/>
      <c r="H26" s="2996" t="s">
        <v>2842</v>
      </c>
    </row>
    <row r="27" spans="1:9">
      <c r="A27" s="2496">
        <v>1</v>
      </c>
      <c r="B27" s="2497" t="s">
        <v>2516</v>
      </c>
      <c r="C27" s="2497"/>
      <c r="D27" s="2497"/>
      <c r="E27" s="3490"/>
      <c r="F27" s="3490"/>
      <c r="G27" s="3490"/>
    </row>
    <row r="28" spans="1:9">
      <c r="A28" s="2498" t="s">
        <v>2517</v>
      </c>
      <c r="B28" s="2497" t="s">
        <v>2518</v>
      </c>
      <c r="C28" s="2497"/>
      <c r="D28" s="2497"/>
      <c r="E28" s="3490"/>
      <c r="F28" s="3490"/>
      <c r="G28" s="3490"/>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91"/>
      <c r="F32" s="3491"/>
      <c r="G32" s="3491"/>
    </row>
    <row r="33" spans="1:7" hidden="1">
      <c r="A33" s="3486" t="s">
        <v>2526</v>
      </c>
      <c r="B33" s="3487"/>
      <c r="C33" s="3487"/>
      <c r="D33" s="3488"/>
      <c r="E33" s="3489"/>
      <c r="F33" s="3489"/>
      <c r="G33" s="3489"/>
    </row>
    <row r="34" spans="1:7" hidden="1">
      <c r="A34" s="2500">
        <v>1</v>
      </c>
      <c r="B34" s="2497" t="s">
        <v>2527</v>
      </c>
      <c r="C34" s="2497"/>
      <c r="D34" s="2497"/>
      <c r="E34" s="3490"/>
      <c r="F34" s="3490"/>
      <c r="G34" s="3490"/>
    </row>
    <row r="35" spans="1:7" hidden="1">
      <c r="A35" s="2500">
        <v>2</v>
      </c>
      <c r="B35" s="2497" t="s">
        <v>2528</v>
      </c>
      <c r="C35" s="2497"/>
      <c r="D35" s="2497"/>
      <c r="E35" s="3490"/>
      <c r="F35" s="3490"/>
      <c r="G35" s="3490"/>
    </row>
    <row r="36" spans="1:7" hidden="1">
      <c r="A36" s="2500">
        <v>3</v>
      </c>
      <c r="B36" s="2497" t="s">
        <v>2529</v>
      </c>
      <c r="C36" s="2497"/>
      <c r="D36" s="2497"/>
      <c r="E36" s="3490"/>
      <c r="F36" s="3490"/>
      <c r="G36" s="3490"/>
    </row>
    <row r="37" spans="1:7" hidden="1">
      <c r="A37" s="2500">
        <v>4</v>
      </c>
      <c r="B37" s="2497" t="s">
        <v>2530</v>
      </c>
      <c r="C37" s="2497"/>
      <c r="D37" s="2497"/>
      <c r="E37" s="3490"/>
      <c r="F37" s="3490"/>
      <c r="G37" s="3490"/>
    </row>
    <row r="38" spans="1:7" hidden="1">
      <c r="A38" s="3486" t="s">
        <v>2531</v>
      </c>
      <c r="B38" s="3487"/>
      <c r="C38" s="3487"/>
      <c r="D38" s="3488"/>
      <c r="E38" s="3489"/>
      <c r="F38" s="3489"/>
      <c r="G38" s="34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53161</v>
      </c>
      <c r="E10" s="749">
        <f>'数据-取费表'!B31</f>
        <v>300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160</v>
      </c>
      <c r="F12" s="755"/>
      <c r="G12" s="759"/>
    </row>
    <row r="13" spans="1:25" s="2169" customFormat="1" ht="13.5" customHeight="1">
      <c r="A13" s="2441" t="s">
        <v>2447</v>
      </c>
      <c r="B13" s="756" t="s">
        <v>612</v>
      </c>
      <c r="C13" s="757">
        <f>ROUND(D13*E13/10000,0)</f>
        <v>1063</v>
      </c>
      <c r="D13" s="758">
        <f>'数据-汇总表'!E6</f>
        <v>53161</v>
      </c>
      <c r="E13" s="757">
        <f>'数据-取费表'!B28</f>
        <v>200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0.18</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0.85899999999999999</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9" t="s">
        <v>522</v>
      </c>
      <c r="D4" s="3410"/>
      <c r="E4" s="3434" t="s">
        <v>523</v>
      </c>
      <c r="F4" s="3435"/>
      <c r="G4" s="3409" t="s">
        <v>524</v>
      </c>
      <c r="H4" s="3410"/>
      <c r="I4" s="3409" t="s">
        <v>525</v>
      </c>
      <c r="J4" s="3410"/>
      <c r="K4" s="853" t="s">
        <v>526</v>
      </c>
      <c r="L4" s="2119"/>
      <c r="M4" s="2120"/>
      <c r="N4" s="2120"/>
      <c r="O4" s="2120"/>
      <c r="P4" s="3411" t="s">
        <v>527</v>
      </c>
      <c r="Q4" s="3412"/>
      <c r="R4" s="3397" t="s">
        <v>523</v>
      </c>
      <c r="S4" s="3398"/>
      <c r="T4" s="3397" t="s">
        <v>524</v>
      </c>
      <c r="U4" s="3398"/>
      <c r="V4" s="3417" t="s">
        <v>525</v>
      </c>
      <c r="W4" s="3417"/>
      <c r="X4" s="1554"/>
      <c r="Y4" s="3397" t="s">
        <v>527</v>
      </c>
      <c r="Z4" s="3398"/>
      <c r="AA4" s="3392" t="s">
        <v>523</v>
      </c>
      <c r="AB4" s="3392" t="s">
        <v>524</v>
      </c>
      <c r="AC4" s="3392" t="s">
        <v>525</v>
      </c>
    </row>
    <row r="5" spans="1:29" ht="15">
      <c r="A5" s="515"/>
      <c r="B5" s="516"/>
      <c r="C5" s="3420" t="s">
        <v>2927</v>
      </c>
      <c r="D5" s="3421"/>
      <c r="E5" s="3436" t="s">
        <v>2928</v>
      </c>
      <c r="F5" s="3437"/>
      <c r="G5" s="3420" t="s">
        <v>2929</v>
      </c>
      <c r="H5" s="3421"/>
      <c r="I5" s="3420" t="s">
        <v>2930</v>
      </c>
      <c r="J5" s="3421"/>
      <c r="K5" s="854"/>
      <c r="L5" s="2119"/>
      <c r="M5" s="2120"/>
      <c r="N5" s="2120"/>
      <c r="O5" s="2120"/>
      <c r="P5" s="3413"/>
      <c r="Q5" s="3414"/>
      <c r="R5" s="3399"/>
      <c r="S5" s="3400"/>
      <c r="T5" s="3399"/>
      <c r="U5" s="3400"/>
      <c r="V5" s="3417"/>
      <c r="W5" s="3417"/>
      <c r="X5" s="1554"/>
      <c r="Y5" s="3399"/>
      <c r="Z5" s="3400"/>
      <c r="AA5" s="3393"/>
      <c r="AB5" s="3393"/>
      <c r="AC5" s="3393"/>
    </row>
    <row r="6" spans="1:29" ht="15.75" thickBot="1">
      <c r="A6" s="517"/>
      <c r="B6" s="518"/>
      <c r="C6" s="3418" t="s">
        <v>2931</v>
      </c>
      <c r="D6" s="3419"/>
      <c r="E6" s="3438" t="s">
        <v>2931</v>
      </c>
      <c r="F6" s="3439"/>
      <c r="G6" s="3418" t="s">
        <v>2931</v>
      </c>
      <c r="H6" s="3419"/>
      <c r="I6" s="3418" t="s">
        <v>2931</v>
      </c>
      <c r="J6" s="3419"/>
      <c r="K6" s="854" t="s">
        <v>528</v>
      </c>
      <c r="L6" s="2119"/>
      <c r="M6" s="2120"/>
      <c r="N6" s="2120"/>
      <c r="O6" s="2120"/>
      <c r="P6" s="3415"/>
      <c r="Q6" s="3416"/>
      <c r="R6" s="3399"/>
      <c r="S6" s="3400"/>
      <c r="T6" s="3401"/>
      <c r="U6" s="3402"/>
      <c r="V6" s="3417"/>
      <c r="W6" s="3417"/>
      <c r="X6" s="1554"/>
      <c r="Y6" s="3401"/>
      <c r="Z6" s="3402"/>
      <c r="AA6" s="3394"/>
      <c r="AB6" s="3394"/>
      <c r="AC6" s="3394"/>
    </row>
    <row r="7" spans="1:29" s="1216" customFormat="1" ht="15.75" thickBot="1">
      <c r="A7" s="2868"/>
      <c r="B7" s="2875" t="s">
        <v>529</v>
      </c>
      <c r="C7" s="519">
        <f>'数据-取费表'!B2</f>
        <v>43570</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95" t="s">
        <v>530</v>
      </c>
      <c r="Q7" s="3404"/>
      <c r="R7" s="1555" t="s">
        <v>13</v>
      </c>
      <c r="S7" s="1556">
        <f t="shared" ref="S7:S15" si="0">F7</f>
        <v>0</v>
      </c>
      <c r="T7" s="1555" t="s">
        <v>13</v>
      </c>
      <c r="U7" s="1556">
        <f t="shared" ref="U7:U15" si="1">H7</f>
        <v>0</v>
      </c>
      <c r="V7" s="1555" t="s">
        <v>13</v>
      </c>
      <c r="W7" s="1556">
        <f t="shared" ref="W7:W15" si="2">J7</f>
        <v>0</v>
      </c>
      <c r="X7" s="1557"/>
      <c r="Y7" s="3395" t="s">
        <v>530</v>
      </c>
      <c r="Z7" s="3396"/>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95" t="s">
        <v>533</v>
      </c>
      <c r="Q8" s="3396"/>
      <c r="R8" s="1555" t="s">
        <v>13</v>
      </c>
      <c r="S8" s="1556">
        <f t="shared" si="0"/>
        <v>0</v>
      </c>
      <c r="T8" s="1555" t="s">
        <v>13</v>
      </c>
      <c r="U8" s="1556">
        <f t="shared" si="1"/>
        <v>0</v>
      </c>
      <c r="V8" s="1555" t="s">
        <v>13</v>
      </c>
      <c r="W8" s="1556">
        <f t="shared" si="2"/>
        <v>0</v>
      </c>
      <c r="X8" s="1557"/>
      <c r="Y8" s="3395" t="s">
        <v>533</v>
      </c>
      <c r="Z8" s="3396"/>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03"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03"/>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03"/>
      <c r="Q11" s="1147" t="str">
        <f t="shared" si="6"/>
        <v>容积率</v>
      </c>
      <c r="R11" s="1555" t="s">
        <v>11</v>
      </c>
      <c r="S11" s="1556" t="e">
        <f t="shared" si="0"/>
        <v>#N/A</v>
      </c>
      <c r="T11" s="1555" t="s">
        <v>11</v>
      </c>
      <c r="U11" s="1556" t="e">
        <f t="shared" si="1"/>
        <v>#N/A</v>
      </c>
      <c r="V11" s="1555" t="s">
        <v>11</v>
      </c>
      <c r="W11" s="1556" t="e">
        <f t="shared" si="2"/>
        <v>#N/A</v>
      </c>
      <c r="X11" s="1557"/>
      <c r="Y11" s="334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3"/>
      <c r="Q12" s="1147">
        <f t="shared" si="6"/>
        <v>111</v>
      </c>
      <c r="R12" s="1555" t="s">
        <v>11</v>
      </c>
      <c r="S12" s="1556">
        <f t="shared" si="0"/>
        <v>100</v>
      </c>
      <c r="T12" s="1555" t="s">
        <v>11</v>
      </c>
      <c r="U12" s="1556">
        <f t="shared" si="1"/>
        <v>100</v>
      </c>
      <c r="V12" s="1555" t="s">
        <v>11</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3"/>
      <c r="Q13" s="1147">
        <f t="shared" si="6"/>
        <v>111</v>
      </c>
      <c r="R13" s="1555" t="s">
        <v>11</v>
      </c>
      <c r="S13" s="1556">
        <f t="shared" si="0"/>
        <v>100</v>
      </c>
      <c r="T13" s="1555" t="s">
        <v>11</v>
      </c>
      <c r="U13" s="1556">
        <f t="shared" si="1"/>
        <v>100</v>
      </c>
      <c r="V13" s="1555" t="s">
        <v>11</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3"/>
      <c r="Q14" s="1147">
        <f t="shared" si="6"/>
        <v>111</v>
      </c>
      <c r="R14" s="1555" t="s">
        <v>11</v>
      </c>
      <c r="S14" s="1556">
        <f t="shared" si="0"/>
        <v>100</v>
      </c>
      <c r="T14" s="1555" t="s">
        <v>11</v>
      </c>
      <c r="U14" s="1556">
        <f t="shared" si="1"/>
        <v>100</v>
      </c>
      <c r="V14" s="1555" t="s">
        <v>11</v>
      </c>
      <c r="W14" s="1556">
        <f t="shared" si="2"/>
        <v>100</v>
      </c>
      <c r="X14" s="1557"/>
      <c r="Y14" s="3347"/>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05" t="s">
        <v>540</v>
      </c>
      <c r="Q15" s="1559" t="str">
        <f t="shared" si="6"/>
        <v>居住社区成熟度</v>
      </c>
      <c r="R15" s="1560" t="s">
        <v>11</v>
      </c>
      <c r="S15" s="1561">
        <f t="shared" si="0"/>
        <v>100</v>
      </c>
      <c r="T15" s="1560" t="s">
        <v>11</v>
      </c>
      <c r="U15" s="1561">
        <f t="shared" si="1"/>
        <v>100</v>
      </c>
      <c r="V15" s="1560" t="s">
        <v>11</v>
      </c>
      <c r="W15" s="1561">
        <f t="shared" si="2"/>
        <v>100</v>
      </c>
      <c r="X15" s="1554"/>
      <c r="Y15" s="3405"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6"/>
      <c r="Q16" s="1559"/>
      <c r="R16" s="1560"/>
      <c r="S16" s="1561"/>
      <c r="T16" s="1560"/>
      <c r="U16" s="1561"/>
      <c r="V16" s="1560"/>
      <c r="W16" s="1561"/>
      <c r="X16" s="1554"/>
      <c r="Y16" s="3406"/>
      <c r="Z16" s="1562"/>
      <c r="AA16" s="1563">
        <v>1</v>
      </c>
      <c r="AB16" s="1563">
        <v>1</v>
      </c>
      <c r="AC16" s="1563">
        <v>1</v>
      </c>
    </row>
    <row r="17" spans="1:29" ht="142.5">
      <c r="A17" s="532"/>
      <c r="B17" s="871" t="s">
        <v>296</v>
      </c>
      <c r="C17" s="872" t="str">
        <f>估价对象房地状况!C6</f>
        <v>估价对象周边有运通113路、运通114路、436路、481路、531路、611路、959路等多条公共交通线路，距地铁1号线（八宝山站）约2公里，综合评价交通便捷度一般</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6"/>
      <c r="Q17" s="1559" t="str">
        <f>B17</f>
        <v>交通便捷度</v>
      </c>
      <c r="R17" s="1560" t="s">
        <v>11</v>
      </c>
      <c r="S17" s="1561">
        <f>F17</f>
        <v>100</v>
      </c>
      <c r="T17" s="1560" t="s">
        <v>11</v>
      </c>
      <c r="U17" s="1561">
        <f>H17</f>
        <v>100</v>
      </c>
      <c r="V17" s="1560" t="s">
        <v>11</v>
      </c>
      <c r="W17" s="1561">
        <f>J17</f>
        <v>100</v>
      </c>
      <c r="X17" s="1554"/>
      <c r="Y17" s="340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6"/>
      <c r="Q18" s="1559"/>
      <c r="R18" s="1560"/>
      <c r="S18" s="1561"/>
      <c r="T18" s="1560"/>
      <c r="U18" s="1561"/>
      <c r="V18" s="1560"/>
      <c r="W18" s="1561"/>
      <c r="X18" s="1554"/>
      <c r="Y18" s="3406"/>
      <c r="Z18" s="1562"/>
      <c r="AA18" s="1563">
        <v>1</v>
      </c>
      <c r="AB18" s="1563">
        <v>1</v>
      </c>
      <c r="AC18" s="1563">
        <v>1</v>
      </c>
    </row>
    <row r="19" spans="1:29" ht="42.75">
      <c r="A19" s="532"/>
      <c r="B19" s="2565" t="s">
        <v>2546</v>
      </c>
      <c r="C19" s="872" t="str">
        <f>估价对象房地状况!C7</f>
        <v>估价对象所在区域公共配套设施齐备情况较齐备</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6"/>
      <c r="Q19" s="1559" t="str">
        <f>B19</f>
        <v>公共配套设施</v>
      </c>
      <c r="R19" s="1560" t="s">
        <v>11</v>
      </c>
      <c r="S19" s="1561">
        <f>F19</f>
        <v>100</v>
      </c>
      <c r="T19" s="1560" t="s">
        <v>11</v>
      </c>
      <c r="U19" s="1561">
        <f>H19</f>
        <v>100</v>
      </c>
      <c r="V19" s="1560" t="s">
        <v>11</v>
      </c>
      <c r="W19" s="1561">
        <f>J19</f>
        <v>100</v>
      </c>
      <c r="X19" s="1554"/>
      <c r="Y19" s="340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6"/>
      <c r="Q20" s="1559"/>
      <c r="R20" s="1560"/>
      <c r="S20" s="1561"/>
      <c r="T20" s="1560"/>
      <c r="U20" s="1561"/>
      <c r="V20" s="1560"/>
      <c r="W20" s="1561"/>
      <c r="X20" s="1554"/>
      <c r="Y20" s="3406"/>
      <c r="Z20" s="1562"/>
      <c r="AA20" s="1563">
        <v>1</v>
      </c>
      <c r="AB20" s="1563">
        <v>1</v>
      </c>
      <c r="AC20" s="1563">
        <v>1</v>
      </c>
    </row>
    <row r="21" spans="1:29" ht="15">
      <c r="A21" s="532"/>
      <c r="B21" s="2558"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6"/>
      <c r="Q21" s="2544" t="str">
        <f>B21</f>
        <v>基础设施水平</v>
      </c>
      <c r="R21" s="1560" t="s">
        <v>11</v>
      </c>
      <c r="S21" s="1561">
        <f>F21</f>
        <v>100</v>
      </c>
      <c r="T21" s="1560" t="s">
        <v>11</v>
      </c>
      <c r="U21" s="1561">
        <f>H21</f>
        <v>100</v>
      </c>
      <c r="V21" s="1560" t="s">
        <v>11</v>
      </c>
      <c r="W21" s="1561">
        <f>J21</f>
        <v>100</v>
      </c>
      <c r="X21" s="2546"/>
      <c r="Y21" s="340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6"/>
      <c r="Q22" s="2544"/>
      <c r="R22" s="1560"/>
      <c r="S22" s="1561"/>
      <c r="T22" s="1560"/>
      <c r="U22" s="1561"/>
      <c r="V22" s="1560"/>
      <c r="W22" s="1561"/>
      <c r="X22" s="2546"/>
      <c r="Y22" s="3406"/>
      <c r="Z22" s="2545"/>
      <c r="AA22" s="1563">
        <v>1</v>
      </c>
      <c r="AB22" s="1563">
        <v>1</v>
      </c>
      <c r="AC22" s="1563">
        <v>1</v>
      </c>
    </row>
    <row r="23" spans="1:29" ht="128.25">
      <c r="A23" s="532"/>
      <c r="B23" s="871" t="s">
        <v>297</v>
      </c>
      <c r="C23" s="872" t="str">
        <f>估价对象房地状况!C9</f>
        <v>区域自然环境：火车头广场、北京园博园；人文环境：北京市第一中级人民法院、北京市第四中级人民法院；综合评价环境状况较好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6"/>
      <c r="Q23" s="1559" t="str">
        <f>B23</f>
        <v>自然及人文环境</v>
      </c>
      <c r="R23" s="1560" t="s">
        <v>11</v>
      </c>
      <c r="S23" s="1561">
        <f>F23</f>
        <v>100</v>
      </c>
      <c r="T23" s="1560" t="s">
        <v>11</v>
      </c>
      <c r="U23" s="1561">
        <f>H23</f>
        <v>100</v>
      </c>
      <c r="V23" s="1560" t="s">
        <v>11</v>
      </c>
      <c r="W23" s="1561">
        <f>J23</f>
        <v>100</v>
      </c>
      <c r="X23" s="1554"/>
      <c r="Y23" s="340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6"/>
      <c r="Q24" s="1559"/>
      <c r="R24" s="1560"/>
      <c r="S24" s="1561"/>
      <c r="T24" s="1560"/>
      <c r="U24" s="1561"/>
      <c r="V24" s="1560"/>
      <c r="W24" s="1561"/>
      <c r="X24" s="1554"/>
      <c r="Y24" s="3406"/>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6"/>
      <c r="Q25" s="1559" t="str">
        <f t="shared" ref="Q25:Q46" si="11">B25</f>
        <v>楼层-1</v>
      </c>
      <c r="R25" s="1560" t="s">
        <v>11</v>
      </c>
      <c r="S25" s="1561">
        <f>F25</f>
        <v>100</v>
      </c>
      <c r="T25" s="1560" t="s">
        <v>11</v>
      </c>
      <c r="U25" s="1561">
        <f>H25</f>
        <v>100</v>
      </c>
      <c r="V25" s="1560" t="s">
        <v>11</v>
      </c>
      <c r="W25" s="1561">
        <f>J25</f>
        <v>100</v>
      </c>
      <c r="X25" s="1554"/>
      <c r="Y25" s="340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6"/>
      <c r="Q26" s="1559" t="str">
        <f t="shared" si="11"/>
        <v>朝向</v>
      </c>
      <c r="R26" s="1560" t="s">
        <v>11</v>
      </c>
      <c r="S26" s="1561">
        <f>F26</f>
        <v>100</v>
      </c>
      <c r="T26" s="1560" t="s">
        <v>11</v>
      </c>
      <c r="U26" s="1561">
        <f>H26</f>
        <v>100</v>
      </c>
      <c r="V26" s="1560" t="s">
        <v>11</v>
      </c>
      <c r="W26" s="1561">
        <f>J26</f>
        <v>100</v>
      </c>
      <c r="X26" s="1554"/>
      <c r="Y26" s="340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6"/>
      <c r="Q27" s="1147" t="str">
        <f t="shared" si="11"/>
        <v>道路级别</v>
      </c>
      <c r="R27" s="1555" t="s">
        <v>11</v>
      </c>
      <c r="S27" s="1556">
        <f>F27</f>
        <v>100</v>
      </c>
      <c r="T27" s="1555" t="s">
        <v>11</v>
      </c>
      <c r="U27" s="1556">
        <f>H27</f>
        <v>100</v>
      </c>
      <c r="V27" s="1555" t="s">
        <v>11</v>
      </c>
      <c r="W27" s="1556">
        <f>J27</f>
        <v>100</v>
      </c>
      <c r="X27" s="1557"/>
      <c r="Y27" s="340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6"/>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6"/>
      <c r="Q29" s="1559">
        <f t="shared" si="11"/>
        <v>111</v>
      </c>
      <c r="R29" s="1560" t="s">
        <v>11</v>
      </c>
      <c r="S29" s="1561">
        <f t="shared" si="12"/>
        <v>100</v>
      </c>
      <c r="T29" s="1560" t="s">
        <v>11</v>
      </c>
      <c r="U29" s="1561">
        <f t="shared" si="13"/>
        <v>100</v>
      </c>
      <c r="V29" s="1560" t="s">
        <v>11</v>
      </c>
      <c r="W29" s="1561">
        <f t="shared" si="14"/>
        <v>100</v>
      </c>
      <c r="X29" s="1554"/>
      <c r="Y29" s="340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6"/>
      <c r="Q30" s="1559">
        <f t="shared" si="11"/>
        <v>111</v>
      </c>
      <c r="R30" s="1560" t="s">
        <v>11</v>
      </c>
      <c r="S30" s="1561">
        <f t="shared" si="12"/>
        <v>100</v>
      </c>
      <c r="T30" s="1560" t="s">
        <v>11</v>
      </c>
      <c r="U30" s="1561">
        <f t="shared" si="13"/>
        <v>100</v>
      </c>
      <c r="V30" s="1560" t="s">
        <v>11</v>
      </c>
      <c r="W30" s="1561">
        <f t="shared" si="14"/>
        <v>100</v>
      </c>
      <c r="X30" s="1554"/>
      <c r="Y30" s="3406"/>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6"/>
      <c r="Q31" s="1559">
        <f t="shared" si="11"/>
        <v>111</v>
      </c>
      <c r="R31" s="1560" t="s">
        <v>11</v>
      </c>
      <c r="S31" s="1561">
        <f t="shared" si="12"/>
        <v>100</v>
      </c>
      <c r="T31" s="1560" t="s">
        <v>11</v>
      </c>
      <c r="U31" s="1561">
        <f t="shared" si="13"/>
        <v>100</v>
      </c>
      <c r="V31" s="1560" t="s">
        <v>11</v>
      </c>
      <c r="W31" s="1561">
        <f t="shared" si="14"/>
        <v>100</v>
      </c>
      <c r="X31" s="1554"/>
      <c r="Y31" s="3406"/>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7" t="s">
        <v>550</v>
      </c>
      <c r="Q32" s="1559" t="str">
        <f t="shared" si="11"/>
        <v>建筑类型</v>
      </c>
      <c r="R32" s="1560" t="s">
        <v>11</v>
      </c>
      <c r="S32" s="1561">
        <f t="shared" si="12"/>
        <v>100</v>
      </c>
      <c r="T32" s="1560" t="s">
        <v>11</v>
      </c>
      <c r="U32" s="1561">
        <f t="shared" si="13"/>
        <v>100</v>
      </c>
      <c r="V32" s="1560" t="s">
        <v>11</v>
      </c>
      <c r="W32" s="1561">
        <f t="shared" si="14"/>
        <v>100</v>
      </c>
      <c r="X32" s="1554"/>
      <c r="Y32" s="3408"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08"/>
      <c r="Q33" s="1591" t="str">
        <f t="shared" si="11"/>
        <v>项目建筑规模</v>
      </c>
      <c r="R33" s="1564" t="s">
        <v>11</v>
      </c>
      <c r="S33" s="1565" t="e">
        <f t="shared" si="12"/>
        <v>#N/A</v>
      </c>
      <c r="T33" s="1564" t="s">
        <v>11</v>
      </c>
      <c r="U33" s="1565" t="e">
        <f t="shared" si="13"/>
        <v>#N/A</v>
      </c>
      <c r="V33" s="1564" t="s">
        <v>11</v>
      </c>
      <c r="W33" s="1565" t="e">
        <f t="shared" si="14"/>
        <v>#N/A</v>
      </c>
      <c r="X33" s="1566"/>
      <c r="Y33" s="340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8"/>
      <c r="Q34" s="1559" t="str">
        <f t="shared" si="11"/>
        <v>建筑结构</v>
      </c>
      <c r="R34" s="1560" t="s">
        <v>11</v>
      </c>
      <c r="S34" s="1561">
        <f t="shared" si="12"/>
        <v>100</v>
      </c>
      <c r="T34" s="1560" t="s">
        <v>11</v>
      </c>
      <c r="U34" s="1561">
        <f t="shared" si="13"/>
        <v>100</v>
      </c>
      <c r="V34" s="1560" t="s">
        <v>11</v>
      </c>
      <c r="W34" s="1561">
        <f t="shared" si="14"/>
        <v>100</v>
      </c>
      <c r="X34" s="1554"/>
      <c r="Y34" s="3408"/>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8"/>
      <c r="Q35" s="1559" t="str">
        <f t="shared" si="11"/>
        <v>建筑品质</v>
      </c>
      <c r="R35" s="1560" t="s">
        <v>11</v>
      </c>
      <c r="S35" s="1561">
        <f t="shared" si="12"/>
        <v>100</v>
      </c>
      <c r="T35" s="1560" t="s">
        <v>11</v>
      </c>
      <c r="U35" s="1561">
        <f t="shared" si="13"/>
        <v>100</v>
      </c>
      <c r="V35" s="1560" t="s">
        <v>11</v>
      </c>
      <c r="W35" s="1561">
        <f t="shared" si="14"/>
        <v>100</v>
      </c>
      <c r="X35" s="1554"/>
      <c r="Y35" s="3408"/>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8"/>
      <c r="Q36" s="1559" t="str">
        <f t="shared" si="11"/>
        <v>公共部分装修</v>
      </c>
      <c r="R36" s="1560" t="s">
        <v>11</v>
      </c>
      <c r="S36" s="1561">
        <f t="shared" si="12"/>
        <v>100</v>
      </c>
      <c r="T36" s="1560" t="s">
        <v>11</v>
      </c>
      <c r="U36" s="1561">
        <f t="shared" si="13"/>
        <v>100</v>
      </c>
      <c r="V36" s="1560" t="s">
        <v>11</v>
      </c>
      <c r="W36" s="1561">
        <f t="shared" si="14"/>
        <v>100</v>
      </c>
      <c r="X36" s="1554"/>
      <c r="Y36" s="3408"/>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08"/>
      <c r="Q37" s="1147" t="str">
        <f t="shared" si="11"/>
        <v>成新度</v>
      </c>
      <c r="R37" s="1555" t="s">
        <v>11</v>
      </c>
      <c r="S37" s="1556" t="e">
        <f t="shared" si="12"/>
        <v>#N/A</v>
      </c>
      <c r="T37" s="1555" t="s">
        <v>11</v>
      </c>
      <c r="U37" s="1556" t="e">
        <f t="shared" si="13"/>
        <v>#N/A</v>
      </c>
      <c r="V37" s="1555" t="s">
        <v>11</v>
      </c>
      <c r="W37" s="1556" t="e">
        <f t="shared" si="14"/>
        <v>#N/A</v>
      </c>
      <c r="X37" s="1557"/>
      <c r="Y37" s="3408"/>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8" t="s">
        <v>550</v>
      </c>
      <c r="Q38" s="1559" t="str">
        <f t="shared" si="11"/>
        <v>物业管理</v>
      </c>
      <c r="R38" s="1560" t="s">
        <v>11</v>
      </c>
      <c r="S38" s="1561">
        <f t="shared" si="12"/>
        <v>100</v>
      </c>
      <c r="T38" s="1560" t="s">
        <v>11</v>
      </c>
      <c r="U38" s="1561">
        <f t="shared" si="13"/>
        <v>100</v>
      </c>
      <c r="V38" s="1560" t="s">
        <v>11</v>
      </c>
      <c r="W38" s="1561">
        <f t="shared" si="14"/>
        <v>100</v>
      </c>
      <c r="X38" s="1554"/>
      <c r="Y38" s="3408"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8"/>
      <c r="Q39" s="1559" t="str">
        <f t="shared" si="11"/>
        <v>市政基础设施</v>
      </c>
      <c r="R39" s="1560" t="s">
        <v>11</v>
      </c>
      <c r="S39" s="1561">
        <f t="shared" si="12"/>
        <v>100</v>
      </c>
      <c r="T39" s="1560" t="s">
        <v>11</v>
      </c>
      <c r="U39" s="1561">
        <f t="shared" si="13"/>
        <v>100</v>
      </c>
      <c r="V39" s="1560" t="s">
        <v>11</v>
      </c>
      <c r="W39" s="1561">
        <f t="shared" si="14"/>
        <v>100</v>
      </c>
      <c r="X39" s="1554"/>
      <c r="Y39" s="340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8"/>
      <c r="Q40" s="1559" t="str">
        <f t="shared" si="11"/>
        <v>房型</v>
      </c>
      <c r="R40" s="1560" t="s">
        <v>11</v>
      </c>
      <c r="S40" s="1561">
        <f t="shared" si="12"/>
        <v>100</v>
      </c>
      <c r="T40" s="1560" t="s">
        <v>11</v>
      </c>
      <c r="U40" s="1561">
        <f t="shared" si="13"/>
        <v>100</v>
      </c>
      <c r="V40" s="1560" t="s">
        <v>11</v>
      </c>
      <c r="W40" s="1561">
        <f t="shared" si="14"/>
        <v>100</v>
      </c>
      <c r="X40" s="1554"/>
      <c r="Y40" s="3408"/>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8"/>
      <c r="Q41" s="1591" t="str">
        <f t="shared" si="11"/>
        <v>单套/主力户型建筑面积</v>
      </c>
      <c r="R41" s="1564" t="s">
        <v>11</v>
      </c>
      <c r="S41" s="1565">
        <f t="shared" si="12"/>
        <v>100</v>
      </c>
      <c r="T41" s="1564" t="s">
        <v>11</v>
      </c>
      <c r="U41" s="1565">
        <f t="shared" si="13"/>
        <v>100</v>
      </c>
      <c r="V41" s="1564" t="s">
        <v>11</v>
      </c>
      <c r="W41" s="1565">
        <f t="shared" si="14"/>
        <v>100</v>
      </c>
      <c r="X41" s="1566"/>
      <c r="Y41" s="3408"/>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08"/>
      <c r="Q42" s="1559" t="str">
        <f t="shared" si="11"/>
        <v>内部装修</v>
      </c>
      <c r="R42" s="1560" t="s">
        <v>11</v>
      </c>
      <c r="S42" s="1561">
        <f t="shared" si="12"/>
        <v>100</v>
      </c>
      <c r="T42" s="1560" t="s">
        <v>11</v>
      </c>
      <c r="U42" s="1561">
        <f t="shared" si="13"/>
        <v>100</v>
      </c>
      <c r="V42" s="1560" t="s">
        <v>11</v>
      </c>
      <c r="W42" s="1561">
        <f t="shared" si="14"/>
        <v>100</v>
      </c>
      <c r="X42" s="1554"/>
      <c r="Y42" s="3408"/>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8"/>
      <c r="Q43" s="1559" t="str">
        <f t="shared" si="11"/>
        <v>内部装修维护情况</v>
      </c>
      <c r="R43" s="1560" t="s">
        <v>11</v>
      </c>
      <c r="S43" s="1561">
        <f t="shared" si="12"/>
        <v>100</v>
      </c>
      <c r="T43" s="1560" t="s">
        <v>11</v>
      </c>
      <c r="U43" s="1561">
        <f t="shared" si="13"/>
        <v>100</v>
      </c>
      <c r="V43" s="1560" t="s">
        <v>11</v>
      </c>
      <c r="W43" s="1561">
        <f t="shared" si="14"/>
        <v>100</v>
      </c>
      <c r="X43" s="1554"/>
      <c r="Y43" s="340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8"/>
      <c r="Q44" s="1147">
        <f t="shared" si="11"/>
        <v>111</v>
      </c>
      <c r="R44" s="1555" t="s">
        <v>11</v>
      </c>
      <c r="S44" s="1556">
        <f t="shared" si="12"/>
        <v>100</v>
      </c>
      <c r="T44" s="1555" t="s">
        <v>11</v>
      </c>
      <c r="U44" s="1556">
        <f t="shared" si="13"/>
        <v>100</v>
      </c>
      <c r="V44" s="1555" t="s">
        <v>11</v>
      </c>
      <c r="W44" s="1556">
        <f t="shared" si="14"/>
        <v>100</v>
      </c>
      <c r="X44" s="1557"/>
      <c r="Y44" s="340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8"/>
      <c r="Q45" s="1559">
        <f t="shared" si="11"/>
        <v>111</v>
      </c>
      <c r="R45" s="1560" t="s">
        <v>11</v>
      </c>
      <c r="S45" s="1561">
        <f t="shared" si="12"/>
        <v>100</v>
      </c>
      <c r="T45" s="1560" t="s">
        <v>11</v>
      </c>
      <c r="U45" s="1561">
        <f t="shared" si="13"/>
        <v>100</v>
      </c>
      <c r="V45" s="1560" t="s">
        <v>11</v>
      </c>
      <c r="W45" s="1561">
        <f t="shared" si="14"/>
        <v>100</v>
      </c>
      <c r="X45" s="1554"/>
      <c r="Y45" s="3408"/>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09"/>
      <c r="Q46" s="1559">
        <f t="shared" si="11"/>
        <v>111</v>
      </c>
      <c r="R46" s="1560" t="s">
        <v>10</v>
      </c>
      <c r="S46" s="1561">
        <f t="shared" si="12"/>
        <v>100</v>
      </c>
      <c r="T46" s="1560" t="s">
        <v>10</v>
      </c>
      <c r="U46" s="1561">
        <f t="shared" si="13"/>
        <v>100</v>
      </c>
      <c r="V46" s="1560" t="s">
        <v>10</v>
      </c>
      <c r="W46" s="1561">
        <f t="shared" si="14"/>
        <v>100</v>
      </c>
      <c r="X46" s="1554"/>
      <c r="Y46" s="3509"/>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03" t="str">
        <f>A47</f>
        <v>成交单价（元/平方米）</v>
      </c>
      <c r="Q47" s="3403"/>
      <c r="R47" s="3508">
        <f>E47</f>
        <v>0</v>
      </c>
      <c r="S47" s="3508"/>
      <c r="T47" s="3508">
        <f>G47</f>
        <v>0</v>
      </c>
      <c r="U47" s="3508"/>
      <c r="V47" s="3508">
        <f>I47</f>
        <v>0</v>
      </c>
      <c r="W47" s="350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03" t="str">
        <f>A48</f>
        <v>比较价格（元/平方米）</v>
      </c>
      <c r="Q48" s="3403"/>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46"/>
      <c r="Y48" s="1546"/>
      <c r="Z48" s="1546"/>
      <c r="AA48" s="1546"/>
      <c r="AB48" s="1546"/>
      <c r="AC48" s="1546"/>
    </row>
    <row r="49" spans="1:29" ht="15.75" thickBot="1">
      <c r="A49" s="621" t="s">
        <v>2933</v>
      </c>
      <c r="B49" s="622"/>
      <c r="C49" s="2601" t="e">
        <f>R49</f>
        <v>#DIV/0!</v>
      </c>
      <c r="D49" s="2601"/>
      <c r="E49" s="2601"/>
      <c r="F49" s="2601"/>
      <c r="G49" s="2601"/>
      <c r="H49" s="2601"/>
      <c r="I49" s="2601"/>
      <c r="J49" s="2601"/>
      <c r="K49" s="1594"/>
      <c r="L49" s="2130"/>
      <c r="M49" s="2131"/>
      <c r="N49" s="2131"/>
      <c r="O49" s="2131"/>
      <c r="P49" s="3425" t="str">
        <f>A49</f>
        <v>估价对象XX用房的比较价格（楼面单价，元/平方米）</v>
      </c>
      <c r="Q49" s="3426"/>
      <c r="R49" s="3507" t="e">
        <f>IF(F1="售价",ROUND(AVERAGE(R48:V48),0),ROUND(AVERAGE(R48:V48),1))</f>
        <v>#DIV/0!</v>
      </c>
      <c r="S49" s="3507"/>
      <c r="T49" s="3507"/>
      <c r="U49" s="3507"/>
      <c r="V49" s="3507"/>
      <c r="W49" s="350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2019-4</v>
      </c>
      <c r="D58" s="2760">
        <f>EDATE(C58,-1)</f>
        <v>43525</v>
      </c>
      <c r="E58" s="2760">
        <f t="shared" ref="E58:O58" si="16">EDATE(D58,-1)</f>
        <v>43497</v>
      </c>
      <c r="F58" s="2760">
        <f t="shared" si="16"/>
        <v>43466</v>
      </c>
      <c r="G58" s="2760">
        <f t="shared" si="16"/>
        <v>43435</v>
      </c>
      <c r="H58" s="2760">
        <f t="shared" si="16"/>
        <v>43405</v>
      </c>
      <c r="I58" s="2760">
        <f t="shared" si="16"/>
        <v>43374</v>
      </c>
      <c r="J58" s="2760">
        <f t="shared" si="16"/>
        <v>43344</v>
      </c>
      <c r="K58" s="2760">
        <f t="shared" si="16"/>
        <v>43313</v>
      </c>
      <c r="L58" s="2760">
        <f t="shared" si="16"/>
        <v>43282</v>
      </c>
      <c r="M58" s="2760">
        <f t="shared" si="16"/>
        <v>43252</v>
      </c>
      <c r="N58" s="2760">
        <f t="shared" si="16"/>
        <v>43221</v>
      </c>
      <c r="O58" s="2760">
        <f t="shared" si="16"/>
        <v>43191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9" t="s">
        <v>522</v>
      </c>
      <c r="D4" s="3410"/>
      <c r="E4" s="3434" t="s">
        <v>523</v>
      </c>
      <c r="F4" s="3435"/>
      <c r="G4" s="3409" t="s">
        <v>524</v>
      </c>
      <c r="H4" s="3410"/>
      <c r="I4" s="3409" t="s">
        <v>525</v>
      </c>
      <c r="J4" s="3410"/>
      <c r="K4" s="514" t="s">
        <v>526</v>
      </c>
      <c r="L4" s="2119"/>
      <c r="M4" s="2120"/>
      <c r="N4" s="2120"/>
      <c r="O4" s="2120"/>
      <c r="P4" s="3411" t="s">
        <v>527</v>
      </c>
      <c r="Q4" s="3412"/>
      <c r="R4" s="3397" t="s">
        <v>523</v>
      </c>
      <c r="S4" s="3398"/>
      <c r="T4" s="3397" t="s">
        <v>524</v>
      </c>
      <c r="U4" s="3398"/>
      <c r="V4" s="3417" t="s">
        <v>525</v>
      </c>
      <c r="W4" s="3417"/>
      <c r="X4" s="1554"/>
      <c r="Y4" s="3397" t="s">
        <v>527</v>
      </c>
      <c r="Z4" s="3398"/>
      <c r="AA4" s="3392" t="s">
        <v>523</v>
      </c>
      <c r="AB4" s="3417" t="s">
        <v>524</v>
      </c>
      <c r="AC4" s="3392" t="s">
        <v>525</v>
      </c>
    </row>
    <row r="5" spans="1:29" ht="15">
      <c r="A5" s="515"/>
      <c r="B5" s="516"/>
      <c r="C5" s="3420" t="s">
        <v>2927</v>
      </c>
      <c r="D5" s="3421"/>
      <c r="E5" s="3436" t="s">
        <v>2928</v>
      </c>
      <c r="F5" s="3437"/>
      <c r="G5" s="3420" t="s">
        <v>2929</v>
      </c>
      <c r="H5" s="3421"/>
      <c r="I5" s="3420" t="s">
        <v>2930</v>
      </c>
      <c r="J5" s="3421"/>
      <c r="K5" s="514"/>
      <c r="L5" s="2119"/>
      <c r="M5" s="2120"/>
      <c r="N5" s="2120"/>
      <c r="O5" s="2120"/>
      <c r="P5" s="3413"/>
      <c r="Q5" s="3414"/>
      <c r="R5" s="3399"/>
      <c r="S5" s="3400"/>
      <c r="T5" s="3399"/>
      <c r="U5" s="3400"/>
      <c r="V5" s="3417"/>
      <c r="W5" s="3417"/>
      <c r="X5" s="1554"/>
      <c r="Y5" s="3399"/>
      <c r="Z5" s="3400"/>
      <c r="AA5" s="3393"/>
      <c r="AB5" s="3417"/>
      <c r="AC5" s="3393"/>
    </row>
    <row r="6" spans="1:29" ht="15.75" thickBot="1">
      <c r="A6" s="517"/>
      <c r="B6" s="518"/>
      <c r="C6" s="3418" t="s">
        <v>2931</v>
      </c>
      <c r="D6" s="3419"/>
      <c r="E6" s="3438" t="s">
        <v>2931</v>
      </c>
      <c r="F6" s="3439"/>
      <c r="G6" s="3418" t="s">
        <v>2931</v>
      </c>
      <c r="H6" s="3419"/>
      <c r="I6" s="3418" t="s">
        <v>2931</v>
      </c>
      <c r="J6" s="3419"/>
      <c r="K6" s="514" t="s">
        <v>528</v>
      </c>
      <c r="L6" s="2119"/>
      <c r="M6" s="2120"/>
      <c r="N6" s="2120"/>
      <c r="O6" s="2120"/>
      <c r="P6" s="3415"/>
      <c r="Q6" s="3416"/>
      <c r="R6" s="3399"/>
      <c r="S6" s="3400"/>
      <c r="T6" s="3401"/>
      <c r="U6" s="3402"/>
      <c r="V6" s="3417"/>
      <c r="W6" s="3417"/>
      <c r="X6" s="1554"/>
      <c r="Y6" s="3401"/>
      <c r="Z6" s="3402"/>
      <c r="AA6" s="3394"/>
      <c r="AB6" s="3417"/>
      <c r="AC6" s="3394"/>
    </row>
    <row r="7" spans="1:29" s="1216" customFormat="1" ht="15.75" thickBot="1">
      <c r="A7" s="2868"/>
      <c r="B7" s="2875" t="s">
        <v>529</v>
      </c>
      <c r="C7" s="519">
        <f>'数据-取费表'!B2</f>
        <v>43570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5" t="s">
        <v>530</v>
      </c>
      <c r="Q7" s="3404"/>
      <c r="R7" s="1555" t="s">
        <v>8</v>
      </c>
      <c r="S7" s="1556">
        <f t="shared" ref="S7:S15" si="0">F7</f>
        <v>0</v>
      </c>
      <c r="T7" s="1555" t="s">
        <v>8</v>
      </c>
      <c r="U7" s="1556">
        <f t="shared" ref="U7:U15" si="1">H7</f>
        <v>0</v>
      </c>
      <c r="V7" s="1555" t="s">
        <v>8</v>
      </c>
      <c r="W7" s="1556">
        <f t="shared" ref="W7:W15" si="2">J7</f>
        <v>0</v>
      </c>
      <c r="X7" s="1557"/>
      <c r="Y7" s="3395" t="s">
        <v>530</v>
      </c>
      <c r="Z7" s="3396"/>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5" t="s">
        <v>533</v>
      </c>
      <c r="Q8" s="3396"/>
      <c r="R8" s="1555" t="s">
        <v>8</v>
      </c>
      <c r="S8" s="1556">
        <f t="shared" si="0"/>
        <v>0</v>
      </c>
      <c r="T8" s="1555" t="s">
        <v>8</v>
      </c>
      <c r="U8" s="1556">
        <f t="shared" si="1"/>
        <v>0</v>
      </c>
      <c r="V8" s="1555" t="s">
        <v>8</v>
      </c>
      <c r="W8" s="1556">
        <f t="shared" si="2"/>
        <v>0</v>
      </c>
      <c r="X8" s="1557"/>
      <c r="Y8" s="3395" t="s">
        <v>533</v>
      </c>
      <c r="Z8" s="3396"/>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3"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3"/>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3"/>
      <c r="Q11" s="1147" t="str">
        <f t="shared" si="6"/>
        <v>容积率</v>
      </c>
      <c r="R11" s="1555" t="s">
        <v>8</v>
      </c>
      <c r="S11" s="1556" t="e">
        <f t="shared" si="0"/>
        <v>#N/A</v>
      </c>
      <c r="T11" s="1555" t="s">
        <v>8</v>
      </c>
      <c r="U11" s="1556" t="e">
        <f t="shared" si="1"/>
        <v>#N/A</v>
      </c>
      <c r="V11" s="1555" t="s">
        <v>8</v>
      </c>
      <c r="W11" s="1556" t="e">
        <f t="shared" si="2"/>
        <v>#N/A</v>
      </c>
      <c r="X11" s="1557"/>
      <c r="Y11" s="334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3"/>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3"/>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3"/>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5" t="s">
        <v>540</v>
      </c>
      <c r="Q15" s="1559" t="str">
        <f t="shared" si="6"/>
        <v>商业繁华度</v>
      </c>
      <c r="R15" s="1560" t="s">
        <v>8</v>
      </c>
      <c r="S15" s="1561">
        <f t="shared" si="0"/>
        <v>100</v>
      </c>
      <c r="T15" s="1560" t="s">
        <v>8</v>
      </c>
      <c r="U15" s="1561">
        <f t="shared" si="1"/>
        <v>100</v>
      </c>
      <c r="V15" s="1560" t="s">
        <v>8</v>
      </c>
      <c r="W15" s="1561">
        <f t="shared" si="2"/>
        <v>100</v>
      </c>
      <c r="X15" s="1554"/>
      <c r="Y15" s="340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6"/>
      <c r="Q16" s="1559"/>
      <c r="R16" s="1560"/>
      <c r="S16" s="1561"/>
      <c r="T16" s="1560"/>
      <c r="U16" s="1561"/>
      <c r="V16" s="1560"/>
      <c r="W16" s="1561"/>
      <c r="X16" s="1554"/>
      <c r="Y16" s="3406"/>
      <c r="Z16" s="1562"/>
      <c r="AA16" s="1563">
        <v>1</v>
      </c>
      <c r="AB16" s="1563">
        <v>1</v>
      </c>
      <c r="AC16" s="1563">
        <v>1</v>
      </c>
    </row>
    <row r="17" spans="1:29" ht="156.75">
      <c r="A17" s="532"/>
      <c r="B17" s="871" t="s">
        <v>296</v>
      </c>
      <c r="C17" s="872" t="str">
        <f>估价对象房地状况!C6</f>
        <v>估价对象周边有运通113路、运通114路、436路、481路、531路、611路、959路等多条公共交通线路，距地铁1号线（八宝山站）约2公里，综合评价交通便捷度一般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6"/>
      <c r="Q17" s="1559" t="str">
        <f>B17</f>
        <v>交通便捷度</v>
      </c>
      <c r="R17" s="1560" t="s">
        <v>8</v>
      </c>
      <c r="S17" s="1561">
        <f>F17</f>
        <v>100</v>
      </c>
      <c r="T17" s="1560" t="s">
        <v>8</v>
      </c>
      <c r="U17" s="1561">
        <f>H17</f>
        <v>100</v>
      </c>
      <c r="V17" s="1560" t="s">
        <v>8</v>
      </c>
      <c r="W17" s="1561">
        <f>J17</f>
        <v>100</v>
      </c>
      <c r="X17" s="1554"/>
      <c r="Y17" s="340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6"/>
      <c r="Q18" s="1559"/>
      <c r="R18" s="1560"/>
      <c r="S18" s="1561"/>
      <c r="T18" s="1560"/>
      <c r="U18" s="1561"/>
      <c r="V18" s="1560"/>
      <c r="W18" s="1561"/>
      <c r="X18" s="1554"/>
      <c r="Y18" s="3406"/>
      <c r="Z18" s="1562"/>
      <c r="AA18" s="1563">
        <v>1</v>
      </c>
      <c r="AB18" s="1563">
        <v>1</v>
      </c>
      <c r="AC18" s="1563">
        <v>1</v>
      </c>
    </row>
    <row r="19" spans="1:29" ht="42.75">
      <c r="A19" s="532"/>
      <c r="B19" s="2565" t="s">
        <v>2546</v>
      </c>
      <c r="C19" s="872" t="str">
        <f>估价对象房地状况!C7</f>
        <v>估价对象所在区域公共配套设施齐备情况较齐备</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6"/>
      <c r="Q19" s="1559" t="str">
        <f>B19</f>
        <v>公共配套设施</v>
      </c>
      <c r="R19" s="1560" t="s">
        <v>8</v>
      </c>
      <c r="S19" s="1561">
        <f>F19</f>
        <v>100</v>
      </c>
      <c r="T19" s="1560" t="s">
        <v>8</v>
      </c>
      <c r="U19" s="1561">
        <f>H19</f>
        <v>100</v>
      </c>
      <c r="V19" s="1560" t="s">
        <v>8</v>
      </c>
      <c r="W19" s="1561">
        <f>J19</f>
        <v>100</v>
      </c>
      <c r="X19" s="1554"/>
      <c r="Y19" s="340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6"/>
      <c r="Q20" s="1559"/>
      <c r="R20" s="1560"/>
      <c r="S20" s="1561"/>
      <c r="T20" s="1560"/>
      <c r="U20" s="1561"/>
      <c r="V20" s="1560"/>
      <c r="W20" s="1561"/>
      <c r="X20" s="1554"/>
      <c r="Y20" s="3406"/>
      <c r="Z20" s="1562"/>
      <c r="AA20" s="1563">
        <v>1</v>
      </c>
      <c r="AB20" s="1563">
        <v>1</v>
      </c>
      <c r="AC20" s="1563">
        <v>1</v>
      </c>
    </row>
    <row r="21" spans="1:29" ht="15">
      <c r="A21" s="532"/>
      <c r="B21" s="2558"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6"/>
      <c r="Q21" s="2544" t="str">
        <f>B21</f>
        <v>基础设施水平</v>
      </c>
      <c r="R21" s="1560" t="s">
        <v>8</v>
      </c>
      <c r="S21" s="1561">
        <f>F21</f>
        <v>100</v>
      </c>
      <c r="T21" s="1560" t="s">
        <v>8</v>
      </c>
      <c r="U21" s="1561">
        <f>H21</f>
        <v>100</v>
      </c>
      <c r="V21" s="1560" t="s">
        <v>8</v>
      </c>
      <c r="W21" s="1561">
        <f>J21</f>
        <v>100</v>
      </c>
      <c r="X21" s="2546"/>
      <c r="Y21" s="340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6"/>
      <c r="Q22" s="2544"/>
      <c r="R22" s="1560"/>
      <c r="S22" s="1561"/>
      <c r="T22" s="1560"/>
      <c r="U22" s="1561"/>
      <c r="V22" s="1560"/>
      <c r="W22" s="1561"/>
      <c r="X22" s="2546"/>
      <c r="Y22" s="3406"/>
      <c r="Z22" s="2545"/>
      <c r="AA22" s="1563">
        <v>1</v>
      </c>
      <c r="AB22" s="1563">
        <v>1</v>
      </c>
      <c r="AC22" s="1563">
        <v>1</v>
      </c>
    </row>
    <row r="23" spans="1:29" ht="128.25">
      <c r="A23" s="532"/>
      <c r="B23" s="871" t="s">
        <v>297</v>
      </c>
      <c r="C23" s="900" t="str">
        <f>估价对象房地状况!C9</f>
        <v>区域自然环境：火车头广场、北京园博园；人文环境：北京市第一中级人民法院、北京市第四中级人民法院；综合评价环境状况较好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6"/>
      <c r="Q23" s="1559" t="str">
        <f>B23</f>
        <v>自然及人文环境</v>
      </c>
      <c r="R23" s="1560" t="s">
        <v>8</v>
      </c>
      <c r="S23" s="1561">
        <f>F23</f>
        <v>100</v>
      </c>
      <c r="T23" s="1560" t="s">
        <v>8</v>
      </c>
      <c r="U23" s="1561">
        <f>H23</f>
        <v>100</v>
      </c>
      <c r="V23" s="1560" t="s">
        <v>8</v>
      </c>
      <c r="W23" s="1561">
        <f>J23</f>
        <v>100</v>
      </c>
      <c r="X23" s="1554"/>
      <c r="Y23" s="340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6"/>
      <c r="Q24" s="1559"/>
      <c r="R24" s="1560"/>
      <c r="S24" s="1561"/>
      <c r="T24" s="1560"/>
      <c r="U24" s="1561"/>
      <c r="V24" s="1560"/>
      <c r="W24" s="1561"/>
      <c r="X24" s="1554"/>
      <c r="Y24" s="340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6"/>
      <c r="Q25" s="1559" t="str">
        <f t="shared" ref="Q25:Q46" si="11">B25</f>
        <v>临街状况</v>
      </c>
      <c r="R25" s="1560" t="s">
        <v>8</v>
      </c>
      <c r="S25" s="1561">
        <f>F25</f>
        <v>100</v>
      </c>
      <c r="T25" s="1560" t="s">
        <v>8</v>
      </c>
      <c r="U25" s="1561">
        <f>H25</f>
        <v>100</v>
      </c>
      <c r="V25" s="1560" t="s">
        <v>8</v>
      </c>
      <c r="W25" s="1561">
        <f>J25</f>
        <v>100</v>
      </c>
      <c r="X25" s="1554"/>
      <c r="Y25" s="340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6"/>
      <c r="Q26" s="1559" t="str">
        <f t="shared" si="11"/>
        <v>平面位置/可视性</v>
      </c>
      <c r="R26" s="1560" t="s">
        <v>8</v>
      </c>
      <c r="S26" s="1561">
        <f>F26</f>
        <v>100</v>
      </c>
      <c r="T26" s="1560" t="s">
        <v>8</v>
      </c>
      <c r="U26" s="1561">
        <f>H26</f>
        <v>100</v>
      </c>
      <c r="V26" s="1560" t="s">
        <v>8</v>
      </c>
      <c r="W26" s="1561">
        <f>J26</f>
        <v>100</v>
      </c>
      <c r="X26" s="1554"/>
      <c r="Y26" s="340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6"/>
      <c r="Q27" s="1147" t="str">
        <f t="shared" si="11"/>
        <v>人流量</v>
      </c>
      <c r="R27" s="1555" t="s">
        <v>8</v>
      </c>
      <c r="S27" s="1556">
        <f>F27</f>
        <v>100</v>
      </c>
      <c r="T27" s="1555" t="s">
        <v>8</v>
      </c>
      <c r="U27" s="1556">
        <f>H27</f>
        <v>100</v>
      </c>
      <c r="V27" s="1555" t="s">
        <v>8</v>
      </c>
      <c r="W27" s="1556">
        <f>J27</f>
        <v>100</v>
      </c>
      <c r="X27" s="1557"/>
      <c r="Y27" s="340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6"/>
      <c r="Q29" s="1559">
        <f t="shared" si="11"/>
        <v>111</v>
      </c>
      <c r="R29" s="1560" t="s">
        <v>8</v>
      </c>
      <c r="S29" s="1561">
        <f t="shared" si="12"/>
        <v>100</v>
      </c>
      <c r="T29" s="1560" t="s">
        <v>8</v>
      </c>
      <c r="U29" s="1561">
        <f t="shared" si="13"/>
        <v>100</v>
      </c>
      <c r="V29" s="1560" t="s">
        <v>8</v>
      </c>
      <c r="W29" s="1561">
        <f t="shared" si="14"/>
        <v>100</v>
      </c>
      <c r="X29" s="1554"/>
      <c r="Y29" s="340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6"/>
      <c r="Q30" s="1559">
        <f t="shared" si="11"/>
        <v>111</v>
      </c>
      <c r="R30" s="1560" t="s">
        <v>8</v>
      </c>
      <c r="S30" s="1561">
        <f t="shared" si="12"/>
        <v>100</v>
      </c>
      <c r="T30" s="1560" t="s">
        <v>8</v>
      </c>
      <c r="U30" s="1561">
        <f t="shared" si="13"/>
        <v>100</v>
      </c>
      <c r="V30" s="1560" t="s">
        <v>8</v>
      </c>
      <c r="W30" s="1561">
        <f t="shared" si="14"/>
        <v>100</v>
      </c>
      <c r="X30" s="1554"/>
      <c r="Y30" s="340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6"/>
      <c r="Q31" s="1559">
        <f t="shared" si="11"/>
        <v>111</v>
      </c>
      <c r="R31" s="1560" t="s">
        <v>8</v>
      </c>
      <c r="S31" s="1561">
        <f t="shared" si="12"/>
        <v>100</v>
      </c>
      <c r="T31" s="1560" t="s">
        <v>8</v>
      </c>
      <c r="U31" s="1561">
        <f t="shared" si="13"/>
        <v>100</v>
      </c>
      <c r="V31" s="1560" t="s">
        <v>8</v>
      </c>
      <c r="W31" s="1561">
        <f t="shared" si="14"/>
        <v>100</v>
      </c>
      <c r="X31" s="1554"/>
      <c r="Y31" s="3406"/>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7" t="s">
        <v>550</v>
      </c>
      <c r="Q32" s="1559" t="str">
        <f t="shared" si="11"/>
        <v>商业类型</v>
      </c>
      <c r="R32" s="1560" t="s">
        <v>8</v>
      </c>
      <c r="S32" s="1561">
        <f t="shared" si="12"/>
        <v>100</v>
      </c>
      <c r="T32" s="1560" t="s">
        <v>8</v>
      </c>
      <c r="U32" s="1561">
        <f t="shared" si="13"/>
        <v>100</v>
      </c>
      <c r="V32" s="1560" t="s">
        <v>8</v>
      </c>
      <c r="W32" s="1561">
        <f t="shared" si="14"/>
        <v>100</v>
      </c>
      <c r="X32" s="1554"/>
      <c r="Y32" s="340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8"/>
      <c r="Q33" s="1591" t="str">
        <f t="shared" si="11"/>
        <v>项目建筑规模</v>
      </c>
      <c r="R33" s="1564" t="s">
        <v>8</v>
      </c>
      <c r="S33" s="1565" t="e">
        <f t="shared" si="12"/>
        <v>#N/A</v>
      </c>
      <c r="T33" s="1564" t="s">
        <v>8</v>
      </c>
      <c r="U33" s="1565" t="e">
        <f t="shared" si="13"/>
        <v>#N/A</v>
      </c>
      <c r="V33" s="1564" t="s">
        <v>8</v>
      </c>
      <c r="W33" s="1565" t="e">
        <f t="shared" si="14"/>
        <v>#N/A</v>
      </c>
      <c r="X33" s="1566"/>
      <c r="Y33" s="340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8"/>
      <c r="Q34" s="1559" t="str">
        <f t="shared" si="11"/>
        <v>建筑结构</v>
      </c>
      <c r="R34" s="1560" t="s">
        <v>8</v>
      </c>
      <c r="S34" s="1561">
        <f t="shared" si="12"/>
        <v>100</v>
      </c>
      <c r="T34" s="1560" t="s">
        <v>8</v>
      </c>
      <c r="U34" s="1561">
        <f t="shared" si="13"/>
        <v>100</v>
      </c>
      <c r="V34" s="1560" t="s">
        <v>8</v>
      </c>
      <c r="W34" s="1561">
        <f t="shared" si="14"/>
        <v>100</v>
      </c>
      <c r="X34" s="1554"/>
      <c r="Y34" s="340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8"/>
      <c r="Q35" s="1559" t="str">
        <f t="shared" si="11"/>
        <v>公共部分装修</v>
      </c>
      <c r="R35" s="1560" t="s">
        <v>8</v>
      </c>
      <c r="S35" s="1561">
        <f t="shared" si="12"/>
        <v>100</v>
      </c>
      <c r="T35" s="1560" t="s">
        <v>8</v>
      </c>
      <c r="U35" s="1561">
        <f t="shared" si="13"/>
        <v>100</v>
      </c>
      <c r="V35" s="1560" t="s">
        <v>8</v>
      </c>
      <c r="W35" s="1561">
        <f t="shared" si="14"/>
        <v>100</v>
      </c>
      <c r="X35" s="1554"/>
      <c r="Y35" s="340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8"/>
      <c r="Q36" s="1559" t="str">
        <f t="shared" si="11"/>
        <v>成新度</v>
      </c>
      <c r="R36" s="1560" t="s">
        <v>8</v>
      </c>
      <c r="S36" s="1561" t="e">
        <f t="shared" si="12"/>
        <v>#N/A</v>
      </c>
      <c r="T36" s="1560" t="s">
        <v>8</v>
      </c>
      <c r="U36" s="1561" t="e">
        <f t="shared" si="13"/>
        <v>#N/A</v>
      </c>
      <c r="V36" s="1560" t="s">
        <v>8</v>
      </c>
      <c r="W36" s="1561" t="e">
        <f t="shared" si="14"/>
        <v>#N/A</v>
      </c>
      <c r="X36" s="1554"/>
      <c r="Y36" s="3408"/>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8"/>
      <c r="Q37" s="1147" t="str">
        <f t="shared" si="11"/>
        <v>市政基础设施</v>
      </c>
      <c r="R37" s="1555" t="s">
        <v>8</v>
      </c>
      <c r="S37" s="1556">
        <f t="shared" si="12"/>
        <v>100</v>
      </c>
      <c r="T37" s="1555" t="s">
        <v>8</v>
      </c>
      <c r="U37" s="1556">
        <f t="shared" si="13"/>
        <v>100</v>
      </c>
      <c r="V37" s="1555" t="s">
        <v>8</v>
      </c>
      <c r="W37" s="1556">
        <f t="shared" si="14"/>
        <v>100</v>
      </c>
      <c r="X37" s="1557"/>
      <c r="Y37" s="340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8" t="s">
        <v>766</v>
      </c>
      <c r="Q38" s="1559" t="str">
        <f t="shared" si="11"/>
        <v>业态</v>
      </c>
      <c r="R38" s="1560" t="s">
        <v>8</v>
      </c>
      <c r="S38" s="1561">
        <f t="shared" si="12"/>
        <v>100</v>
      </c>
      <c r="T38" s="1560" t="s">
        <v>8</v>
      </c>
      <c r="U38" s="1561">
        <f t="shared" si="13"/>
        <v>100</v>
      </c>
      <c r="V38" s="1560" t="s">
        <v>8</v>
      </c>
      <c r="W38" s="1561">
        <f t="shared" si="14"/>
        <v>100</v>
      </c>
      <c r="X38" s="1554"/>
      <c r="Y38" s="340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8"/>
      <c r="Q39" s="1559" t="str">
        <f t="shared" si="11"/>
        <v>层高</v>
      </c>
      <c r="R39" s="1560" t="s">
        <v>8</v>
      </c>
      <c r="S39" s="1561">
        <f t="shared" si="12"/>
        <v>100</v>
      </c>
      <c r="T39" s="1560" t="s">
        <v>8</v>
      </c>
      <c r="U39" s="1561">
        <f t="shared" si="13"/>
        <v>100</v>
      </c>
      <c r="V39" s="1560" t="s">
        <v>8</v>
      </c>
      <c r="W39" s="1561">
        <f t="shared" si="14"/>
        <v>100</v>
      </c>
      <c r="X39" s="1554"/>
      <c r="Y39" s="340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8"/>
      <c r="Q40" s="1559" t="str">
        <f t="shared" si="11"/>
        <v>单套建筑面积</v>
      </c>
      <c r="R40" s="1560" t="s">
        <v>8</v>
      </c>
      <c r="S40" s="1561">
        <f t="shared" si="12"/>
        <v>100</v>
      </c>
      <c r="T40" s="1560" t="s">
        <v>8</v>
      </c>
      <c r="U40" s="1561">
        <f t="shared" si="13"/>
        <v>100</v>
      </c>
      <c r="V40" s="1560" t="s">
        <v>8</v>
      </c>
      <c r="W40" s="1561">
        <f t="shared" si="14"/>
        <v>100</v>
      </c>
      <c r="X40" s="1554"/>
      <c r="Y40" s="340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8"/>
      <c r="Q41" s="1591" t="str">
        <f t="shared" si="11"/>
        <v>进深比</v>
      </c>
      <c r="R41" s="1564" t="s">
        <v>8</v>
      </c>
      <c r="S41" s="1565">
        <f t="shared" si="12"/>
        <v>100</v>
      </c>
      <c r="T41" s="1564" t="s">
        <v>8</v>
      </c>
      <c r="U41" s="1565">
        <f t="shared" si="13"/>
        <v>100</v>
      </c>
      <c r="V41" s="1564" t="s">
        <v>8</v>
      </c>
      <c r="W41" s="1565">
        <f t="shared" si="14"/>
        <v>100</v>
      </c>
      <c r="X41" s="1566"/>
      <c r="Y41" s="340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8"/>
      <c r="Q42" s="1559" t="str">
        <f t="shared" si="11"/>
        <v>内部装修</v>
      </c>
      <c r="R42" s="1560" t="s">
        <v>8</v>
      </c>
      <c r="S42" s="1561">
        <f t="shared" si="12"/>
        <v>100</v>
      </c>
      <c r="T42" s="1560" t="s">
        <v>8</v>
      </c>
      <c r="U42" s="1561">
        <f t="shared" si="13"/>
        <v>100</v>
      </c>
      <c r="V42" s="1560" t="s">
        <v>8</v>
      </c>
      <c r="W42" s="1561">
        <f t="shared" si="14"/>
        <v>100</v>
      </c>
      <c r="X42" s="1554"/>
      <c r="Y42" s="3408"/>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8"/>
      <c r="Q43" s="1559" t="str">
        <f t="shared" si="11"/>
        <v>内部装修维护情况</v>
      </c>
      <c r="R43" s="1560" t="s">
        <v>8</v>
      </c>
      <c r="S43" s="1561">
        <f t="shared" si="12"/>
        <v>100</v>
      </c>
      <c r="T43" s="1560" t="s">
        <v>8</v>
      </c>
      <c r="U43" s="1561">
        <f t="shared" si="13"/>
        <v>100</v>
      </c>
      <c r="V43" s="1560" t="s">
        <v>8</v>
      </c>
      <c r="W43" s="1561">
        <f t="shared" si="14"/>
        <v>100</v>
      </c>
      <c r="X43" s="1554"/>
      <c r="Y43" s="340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8"/>
      <c r="Q44" s="1147">
        <f t="shared" si="11"/>
        <v>111</v>
      </c>
      <c r="R44" s="1555" t="s">
        <v>8</v>
      </c>
      <c r="S44" s="1556">
        <f t="shared" si="12"/>
        <v>100</v>
      </c>
      <c r="T44" s="1555" t="s">
        <v>8</v>
      </c>
      <c r="U44" s="1556">
        <f t="shared" si="13"/>
        <v>100</v>
      </c>
      <c r="V44" s="1555" t="s">
        <v>8</v>
      </c>
      <c r="W44" s="1556">
        <f t="shared" si="14"/>
        <v>100</v>
      </c>
      <c r="X44" s="1557"/>
      <c r="Y44" s="340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8"/>
      <c r="Q45" s="1559">
        <f t="shared" si="11"/>
        <v>111</v>
      </c>
      <c r="R45" s="1560" t="s">
        <v>8</v>
      </c>
      <c r="S45" s="1561">
        <f t="shared" si="12"/>
        <v>100</v>
      </c>
      <c r="T45" s="1560" t="s">
        <v>8</v>
      </c>
      <c r="U45" s="1561">
        <f t="shared" si="13"/>
        <v>100</v>
      </c>
      <c r="V45" s="1560" t="s">
        <v>8</v>
      </c>
      <c r="W45" s="1561">
        <f t="shared" si="14"/>
        <v>100</v>
      </c>
      <c r="X45" s="1554"/>
      <c r="Y45" s="340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09"/>
      <c r="Q46" s="1559">
        <f t="shared" si="11"/>
        <v>111</v>
      </c>
      <c r="R46" s="1560" t="s">
        <v>8</v>
      </c>
      <c r="S46" s="1561">
        <f t="shared" si="12"/>
        <v>100</v>
      </c>
      <c r="T46" s="1560" t="s">
        <v>8</v>
      </c>
      <c r="U46" s="1561">
        <f t="shared" si="13"/>
        <v>100</v>
      </c>
      <c r="V46" s="1560" t="s">
        <v>8</v>
      </c>
      <c r="W46" s="1561">
        <f t="shared" si="14"/>
        <v>100</v>
      </c>
      <c r="X46" s="1554"/>
      <c r="Y46" s="3509"/>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3" t="str">
        <f>A47</f>
        <v>成交单价（元/平方米）</v>
      </c>
      <c r="Q47" s="3403"/>
      <c r="R47" s="3508">
        <f>E47</f>
        <v>0</v>
      </c>
      <c r="S47" s="3508"/>
      <c r="T47" s="3508">
        <f>G47</f>
        <v>0</v>
      </c>
      <c r="U47" s="3508"/>
      <c r="V47" s="3508">
        <f>I47</f>
        <v>0</v>
      </c>
      <c r="W47" s="350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03" t="str">
        <f>A48</f>
        <v>比较价格（元/平方米）</v>
      </c>
      <c r="Q48" s="3403"/>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46"/>
      <c r="Y48" s="1546"/>
      <c r="Z48" s="1546"/>
      <c r="AA48" s="1546"/>
      <c r="AB48" s="1546"/>
      <c r="AC48" s="1546"/>
    </row>
    <row r="49" spans="1:29" ht="15.75" thickBot="1">
      <c r="A49" s="621" t="s">
        <v>2933</v>
      </c>
      <c r="B49" s="622"/>
      <c r="C49" s="2601" t="e">
        <f>R49</f>
        <v>#DIV/0!</v>
      </c>
      <c r="D49" s="2601"/>
      <c r="E49" s="2601"/>
      <c r="F49" s="2601"/>
      <c r="G49" s="2601"/>
      <c r="H49" s="2601"/>
      <c r="I49" s="2601"/>
      <c r="J49" s="2601"/>
      <c r="K49" s="1599"/>
      <c r="L49" s="2130"/>
      <c r="M49" s="2131"/>
      <c r="N49" s="2120"/>
      <c r="O49" s="2131"/>
      <c r="P49" s="3425" t="str">
        <f>A49</f>
        <v>估价对象XX用房的比较价格（楼面单价，元/平方米）</v>
      </c>
      <c r="Q49" s="3426"/>
      <c r="R49" s="3507" t="e">
        <f>IF(F1="售价",ROUND(AVERAGE(R48:V48),0),ROUND(AVERAGE(R48:V48),1))</f>
        <v>#DIV/0!</v>
      </c>
      <c r="S49" s="3507"/>
      <c r="T49" s="3507"/>
      <c r="U49" s="3507"/>
      <c r="V49" s="3507"/>
      <c r="W49" s="350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2019-4</v>
      </c>
      <c r="D58" s="2760">
        <f>EDATE(C58,-1)</f>
        <v>43525</v>
      </c>
      <c r="E58" s="2760">
        <f t="shared" ref="E58:O58" si="16">EDATE(D58,-1)</f>
        <v>43497</v>
      </c>
      <c r="F58" s="2760">
        <f t="shared" si="16"/>
        <v>43466</v>
      </c>
      <c r="G58" s="2760">
        <f t="shared" si="16"/>
        <v>43435</v>
      </c>
      <c r="H58" s="2760">
        <f t="shared" si="16"/>
        <v>43405</v>
      </c>
      <c r="I58" s="2760">
        <f t="shared" si="16"/>
        <v>43374</v>
      </c>
      <c r="J58" s="2760">
        <f t="shared" si="16"/>
        <v>43344</v>
      </c>
      <c r="K58" s="2760">
        <f t="shared" si="16"/>
        <v>43313</v>
      </c>
      <c r="L58" s="2760">
        <f t="shared" si="16"/>
        <v>43282</v>
      </c>
      <c r="M58" s="2760">
        <f t="shared" si="16"/>
        <v>43252</v>
      </c>
      <c r="N58" s="2760">
        <f t="shared" si="16"/>
        <v>43221</v>
      </c>
      <c r="O58" s="2760">
        <f t="shared" si="16"/>
        <v>43191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L39" sqref="L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9" t="s">
        <v>522</v>
      </c>
      <c r="D4" s="3410"/>
      <c r="E4" s="3434" t="s">
        <v>523</v>
      </c>
      <c r="F4" s="3435"/>
      <c r="G4" s="3409" t="s">
        <v>524</v>
      </c>
      <c r="H4" s="3410"/>
      <c r="I4" s="3409" t="s">
        <v>525</v>
      </c>
      <c r="J4" s="3410"/>
      <c r="K4" s="514" t="s">
        <v>526</v>
      </c>
      <c r="L4" s="2119"/>
      <c r="M4" s="2120"/>
      <c r="N4" s="2120"/>
      <c r="O4" s="2120"/>
      <c r="P4" s="3411" t="s">
        <v>527</v>
      </c>
      <c r="Q4" s="3412"/>
      <c r="R4" s="3397" t="s">
        <v>523</v>
      </c>
      <c r="S4" s="3398"/>
      <c r="T4" s="3397" t="s">
        <v>524</v>
      </c>
      <c r="U4" s="3398"/>
      <c r="V4" s="3417" t="s">
        <v>525</v>
      </c>
      <c r="W4" s="3417"/>
      <c r="X4" s="1554"/>
      <c r="Y4" s="3397" t="s">
        <v>527</v>
      </c>
      <c r="Z4" s="3398"/>
      <c r="AA4" s="3392" t="s">
        <v>523</v>
      </c>
      <c r="AB4" s="3393" t="s">
        <v>524</v>
      </c>
      <c r="AC4" s="3392" t="s">
        <v>525</v>
      </c>
    </row>
    <row r="5" spans="1:29" ht="15">
      <c r="A5" s="515"/>
      <c r="B5" s="516"/>
      <c r="C5" s="3420" t="s">
        <v>2927</v>
      </c>
      <c r="D5" s="3421"/>
      <c r="E5" s="3436" t="s">
        <v>2928</v>
      </c>
      <c r="F5" s="3437"/>
      <c r="G5" s="3420" t="s">
        <v>2929</v>
      </c>
      <c r="H5" s="3421"/>
      <c r="I5" s="3420" t="s">
        <v>2930</v>
      </c>
      <c r="J5" s="3421"/>
      <c r="K5" s="514"/>
      <c r="L5" s="2119"/>
      <c r="M5" s="2120"/>
      <c r="N5" s="2120"/>
      <c r="O5" s="2120"/>
      <c r="P5" s="3413"/>
      <c r="Q5" s="3414"/>
      <c r="R5" s="3399"/>
      <c r="S5" s="3400"/>
      <c r="T5" s="3399"/>
      <c r="U5" s="3400"/>
      <c r="V5" s="3417"/>
      <c r="W5" s="3417"/>
      <c r="X5" s="1554"/>
      <c r="Y5" s="3399"/>
      <c r="Z5" s="3400"/>
      <c r="AA5" s="3393"/>
      <c r="AB5" s="3393"/>
      <c r="AC5" s="3393"/>
    </row>
    <row r="6" spans="1:29" ht="15.75" thickBot="1">
      <c r="A6" s="517"/>
      <c r="B6" s="518"/>
      <c r="C6" s="3418" t="s">
        <v>2931</v>
      </c>
      <c r="D6" s="3419"/>
      <c r="E6" s="3438" t="s">
        <v>2931</v>
      </c>
      <c r="F6" s="3439"/>
      <c r="G6" s="3418" t="s">
        <v>2931</v>
      </c>
      <c r="H6" s="3419"/>
      <c r="I6" s="3418" t="s">
        <v>2931</v>
      </c>
      <c r="J6" s="3419"/>
      <c r="K6" s="514" t="s">
        <v>528</v>
      </c>
      <c r="L6" s="2119"/>
      <c r="M6" s="2120"/>
      <c r="N6" s="2120"/>
      <c r="O6" s="2120"/>
      <c r="P6" s="3415"/>
      <c r="Q6" s="3416"/>
      <c r="R6" s="3399"/>
      <c r="S6" s="3400"/>
      <c r="T6" s="3401"/>
      <c r="U6" s="3402"/>
      <c r="V6" s="3417"/>
      <c r="W6" s="3417"/>
      <c r="X6" s="1554"/>
      <c r="Y6" s="3401"/>
      <c r="Z6" s="3402"/>
      <c r="AA6" s="3394"/>
      <c r="AB6" s="3394"/>
      <c r="AC6" s="3394"/>
    </row>
    <row r="7" spans="1:29" s="1216" customFormat="1" ht="15.75" thickBot="1">
      <c r="A7" s="2868"/>
      <c r="B7" s="2875" t="s">
        <v>529</v>
      </c>
      <c r="C7" s="519">
        <f>'数据-取费表'!B2</f>
        <v>43570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5" t="s">
        <v>530</v>
      </c>
      <c r="Q7" s="3404"/>
      <c r="R7" s="1555" t="s">
        <v>8</v>
      </c>
      <c r="S7" s="1556">
        <f t="shared" ref="S7:S15" si="0">F7</f>
        <v>0</v>
      </c>
      <c r="T7" s="1555" t="s">
        <v>8</v>
      </c>
      <c r="U7" s="1556">
        <f t="shared" ref="U7:U15" si="1">H7</f>
        <v>0</v>
      </c>
      <c r="V7" s="1555" t="s">
        <v>8</v>
      </c>
      <c r="W7" s="1556">
        <f t="shared" ref="W7:W15" si="2">J7</f>
        <v>0</v>
      </c>
      <c r="X7" s="1557"/>
      <c r="Y7" s="3395" t="s">
        <v>530</v>
      </c>
      <c r="Z7" s="3396"/>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5" t="s">
        <v>533</v>
      </c>
      <c r="Q8" s="3396"/>
      <c r="R8" s="1555" t="s">
        <v>8</v>
      </c>
      <c r="S8" s="1556">
        <f t="shared" si="0"/>
        <v>0</v>
      </c>
      <c r="T8" s="1555" t="s">
        <v>8</v>
      </c>
      <c r="U8" s="1556">
        <f t="shared" si="1"/>
        <v>0</v>
      </c>
      <c r="V8" s="1555" t="s">
        <v>8</v>
      </c>
      <c r="W8" s="1556">
        <f t="shared" si="2"/>
        <v>0</v>
      </c>
      <c r="X8" s="1557"/>
      <c r="Y8" s="3395" t="s">
        <v>533</v>
      </c>
      <c r="Z8" s="3396"/>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3"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3"/>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3"/>
      <c r="Q11" s="1147" t="str">
        <f t="shared" si="6"/>
        <v>容积率</v>
      </c>
      <c r="R11" s="1555" t="s">
        <v>8</v>
      </c>
      <c r="S11" s="1556" t="e">
        <f t="shared" si="0"/>
        <v>#N/A</v>
      </c>
      <c r="T11" s="1555" t="s">
        <v>8</v>
      </c>
      <c r="U11" s="1556" t="e">
        <f t="shared" si="1"/>
        <v>#N/A</v>
      </c>
      <c r="V11" s="1555" t="s">
        <v>8</v>
      </c>
      <c r="W11" s="1556" t="e">
        <f t="shared" si="2"/>
        <v>#N/A</v>
      </c>
      <c r="X11" s="1557"/>
      <c r="Y11" s="334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3"/>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3"/>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3"/>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5" t="s">
        <v>540</v>
      </c>
      <c r="Q15" s="1559" t="str">
        <f t="shared" si="6"/>
        <v>产业集聚程度</v>
      </c>
      <c r="R15" s="1560" t="s">
        <v>8</v>
      </c>
      <c r="S15" s="1561">
        <f t="shared" si="0"/>
        <v>100</v>
      </c>
      <c r="T15" s="1560" t="s">
        <v>8</v>
      </c>
      <c r="U15" s="1561">
        <f t="shared" si="1"/>
        <v>100</v>
      </c>
      <c r="V15" s="1560" t="s">
        <v>8</v>
      </c>
      <c r="W15" s="1561">
        <f t="shared" si="2"/>
        <v>100</v>
      </c>
      <c r="X15" s="1554"/>
      <c r="Y15" s="340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6"/>
      <c r="Q16" s="1559"/>
      <c r="R16" s="1560"/>
      <c r="S16" s="1561"/>
      <c r="T16" s="1560"/>
      <c r="U16" s="1561"/>
      <c r="V16" s="1560"/>
      <c r="W16" s="1561"/>
      <c r="X16" s="1554"/>
      <c r="Y16" s="3406"/>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6"/>
      <c r="Q17" s="1559" t="str">
        <f>B17</f>
        <v>交通便捷度</v>
      </c>
      <c r="R17" s="1560" t="s">
        <v>8</v>
      </c>
      <c r="S17" s="1561">
        <f>F17</f>
        <v>100</v>
      </c>
      <c r="T17" s="1560" t="s">
        <v>8</v>
      </c>
      <c r="U17" s="1561">
        <f>H17</f>
        <v>100</v>
      </c>
      <c r="V17" s="1560" t="s">
        <v>8</v>
      </c>
      <c r="W17" s="1561">
        <f>J17</f>
        <v>100</v>
      </c>
      <c r="X17" s="1554"/>
      <c r="Y17" s="340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6"/>
      <c r="Q18" s="1559"/>
      <c r="R18" s="1560"/>
      <c r="S18" s="1561"/>
      <c r="T18" s="1560"/>
      <c r="U18" s="1561"/>
      <c r="V18" s="1560"/>
      <c r="W18" s="1561"/>
      <c r="X18" s="1554"/>
      <c r="Y18" s="3406"/>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6"/>
      <c r="Q19" s="1559" t="str">
        <f>B19</f>
        <v>公共配套设施</v>
      </c>
      <c r="R19" s="1560" t="s">
        <v>8</v>
      </c>
      <c r="S19" s="1561">
        <f>F19</f>
        <v>100</v>
      </c>
      <c r="T19" s="1560" t="s">
        <v>8</v>
      </c>
      <c r="U19" s="1561">
        <f>H19</f>
        <v>100</v>
      </c>
      <c r="V19" s="1560" t="s">
        <v>8</v>
      </c>
      <c r="W19" s="1561">
        <f>J19</f>
        <v>100</v>
      </c>
      <c r="X19" s="1554"/>
      <c r="Y19" s="340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6"/>
      <c r="Q20" s="1559"/>
      <c r="R20" s="1560"/>
      <c r="S20" s="1561"/>
      <c r="T20" s="1560"/>
      <c r="U20" s="1561"/>
      <c r="V20" s="1560"/>
      <c r="W20" s="1561"/>
      <c r="X20" s="1554"/>
      <c r="Y20" s="3406"/>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6"/>
      <c r="Q21" s="2544" t="str">
        <f>B21</f>
        <v>基础设施水平</v>
      </c>
      <c r="R21" s="1560" t="s">
        <v>8</v>
      </c>
      <c r="S21" s="1561">
        <f>F21</f>
        <v>100</v>
      </c>
      <c r="T21" s="1560" t="s">
        <v>8</v>
      </c>
      <c r="U21" s="1561">
        <f>H21</f>
        <v>100</v>
      </c>
      <c r="V21" s="1560" t="s">
        <v>8</v>
      </c>
      <c r="W21" s="1561">
        <f>J21</f>
        <v>100</v>
      </c>
      <c r="X21" s="2546"/>
      <c r="Y21" s="3406"/>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6"/>
      <c r="Q22" s="2544"/>
      <c r="R22" s="1560"/>
      <c r="S22" s="1561"/>
      <c r="T22" s="1560"/>
      <c r="U22" s="1561"/>
      <c r="V22" s="1560"/>
      <c r="W22" s="1561"/>
      <c r="X22" s="2546"/>
      <c r="Y22" s="3406"/>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6"/>
      <c r="Q23" s="1559" t="str">
        <f>B23</f>
        <v>环境质量</v>
      </c>
      <c r="R23" s="1560" t="s">
        <v>8</v>
      </c>
      <c r="S23" s="1561">
        <f>F23</f>
        <v>100</v>
      </c>
      <c r="T23" s="1560" t="s">
        <v>8</v>
      </c>
      <c r="U23" s="1561">
        <f>H23</f>
        <v>100</v>
      </c>
      <c r="V23" s="1560" t="s">
        <v>8</v>
      </c>
      <c r="W23" s="1561">
        <f>J23</f>
        <v>100</v>
      </c>
      <c r="X23" s="1554"/>
      <c r="Y23" s="340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6"/>
      <c r="Q24" s="1559"/>
      <c r="R24" s="1560"/>
      <c r="S24" s="1561"/>
      <c r="T24" s="1560"/>
      <c r="U24" s="1561"/>
      <c r="V24" s="1560"/>
      <c r="W24" s="1561"/>
      <c r="X24" s="1554"/>
      <c r="Y24" s="340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6"/>
      <c r="Q25" s="1559">
        <f>B25</f>
        <v>111</v>
      </c>
      <c r="R25" s="1560" t="s">
        <v>8</v>
      </c>
      <c r="S25" s="1561">
        <f>F25</f>
        <v>100</v>
      </c>
      <c r="T25" s="1560" t="s">
        <v>8</v>
      </c>
      <c r="U25" s="1561">
        <f>H25</f>
        <v>100</v>
      </c>
      <c r="V25" s="1560" t="s">
        <v>8</v>
      </c>
      <c r="W25" s="1561">
        <f>J25</f>
        <v>100</v>
      </c>
      <c r="X25" s="1554"/>
      <c r="Y25" s="340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6"/>
      <c r="Q26" s="1559">
        <f t="shared" ref="Q26:Q40" si="11">B26</f>
        <v>111</v>
      </c>
      <c r="R26" s="1560" t="s">
        <v>8</v>
      </c>
      <c r="S26" s="1561">
        <f>F26</f>
        <v>100</v>
      </c>
      <c r="T26" s="1560" t="s">
        <v>8</v>
      </c>
      <c r="U26" s="1561">
        <f>H26</f>
        <v>100</v>
      </c>
      <c r="V26" s="1560" t="s">
        <v>8</v>
      </c>
      <c r="W26" s="1561">
        <f>J26</f>
        <v>100</v>
      </c>
      <c r="X26" s="1554"/>
      <c r="Y26" s="340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6"/>
      <c r="Q27" s="1147">
        <f t="shared" si="11"/>
        <v>111</v>
      </c>
      <c r="R27" s="1555" t="s">
        <v>8</v>
      </c>
      <c r="S27" s="1556">
        <f>F27</f>
        <v>100</v>
      </c>
      <c r="T27" s="1555" t="s">
        <v>8</v>
      </c>
      <c r="U27" s="1556">
        <f>H27</f>
        <v>100</v>
      </c>
      <c r="V27" s="1555" t="s">
        <v>8</v>
      </c>
      <c r="W27" s="1556">
        <f>J27</f>
        <v>100</v>
      </c>
      <c r="X27" s="1557"/>
      <c r="Y27" s="340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6"/>
      <c r="Q28" s="1559">
        <f t="shared" si="11"/>
        <v>111</v>
      </c>
      <c r="R28" s="1560" t="s">
        <v>8</v>
      </c>
      <c r="S28" s="1561">
        <f t="shared" ref="S28:S40" si="12">F28</f>
        <v>100</v>
      </c>
      <c r="T28" s="1560" t="s">
        <v>8</v>
      </c>
      <c r="U28" s="1561">
        <f t="shared" ref="U28:U40" si="13">H28</f>
        <v>100</v>
      </c>
      <c r="V28" s="1560" t="s">
        <v>8</v>
      </c>
      <c r="W28" s="1561">
        <f t="shared" ref="W28:W40" si="14">J28</f>
        <v>100</v>
      </c>
      <c r="X28" s="1554"/>
      <c r="Y28" s="3406"/>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7" t="s">
        <v>550</v>
      </c>
      <c r="Q29" s="1559" t="str">
        <f t="shared" si="11"/>
        <v>建筑类型</v>
      </c>
      <c r="R29" s="1560" t="s">
        <v>8</v>
      </c>
      <c r="S29" s="1561">
        <f t="shared" si="12"/>
        <v>100</v>
      </c>
      <c r="T29" s="1560" t="s">
        <v>8</v>
      </c>
      <c r="U29" s="1561">
        <f t="shared" si="13"/>
        <v>100</v>
      </c>
      <c r="V29" s="1560" t="s">
        <v>8</v>
      </c>
      <c r="W29" s="1561">
        <f t="shared" si="14"/>
        <v>100</v>
      </c>
      <c r="X29" s="1554"/>
      <c r="Y29" s="340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8"/>
      <c r="Q30" s="1591" t="str">
        <f t="shared" si="11"/>
        <v>项目建筑规模</v>
      </c>
      <c r="R30" s="1564" t="s">
        <v>8</v>
      </c>
      <c r="S30" s="1565" t="e">
        <f t="shared" si="12"/>
        <v>#N/A</v>
      </c>
      <c r="T30" s="1564" t="s">
        <v>8</v>
      </c>
      <c r="U30" s="1565" t="e">
        <f t="shared" si="13"/>
        <v>#N/A</v>
      </c>
      <c r="V30" s="1564" t="s">
        <v>8</v>
      </c>
      <c r="W30" s="1565" t="e">
        <f t="shared" si="14"/>
        <v>#N/A</v>
      </c>
      <c r="X30" s="1566"/>
      <c r="Y30" s="340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8"/>
      <c r="Q31" s="1559" t="str">
        <f t="shared" si="11"/>
        <v>建筑结构</v>
      </c>
      <c r="R31" s="1560" t="s">
        <v>8</v>
      </c>
      <c r="S31" s="1561">
        <f t="shared" si="12"/>
        <v>100</v>
      </c>
      <c r="T31" s="1560" t="s">
        <v>8</v>
      </c>
      <c r="U31" s="1561">
        <f t="shared" si="13"/>
        <v>100</v>
      </c>
      <c r="V31" s="1560" t="s">
        <v>8</v>
      </c>
      <c r="W31" s="1561">
        <f t="shared" si="14"/>
        <v>100</v>
      </c>
      <c r="X31" s="1554"/>
      <c r="Y31" s="340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8"/>
      <c r="Q32" s="1559" t="str">
        <f t="shared" si="11"/>
        <v>公共部分装修</v>
      </c>
      <c r="R32" s="1560" t="s">
        <v>8</v>
      </c>
      <c r="S32" s="1561">
        <f t="shared" si="12"/>
        <v>100</v>
      </c>
      <c r="T32" s="1560" t="s">
        <v>8</v>
      </c>
      <c r="U32" s="1561">
        <f t="shared" si="13"/>
        <v>100</v>
      </c>
      <c r="V32" s="1560" t="s">
        <v>8</v>
      </c>
      <c r="W32" s="1561">
        <f t="shared" si="14"/>
        <v>100</v>
      </c>
      <c r="X32" s="1554"/>
      <c r="Y32" s="340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8"/>
      <c r="Q33" s="1559" t="str">
        <f t="shared" si="11"/>
        <v>成新度</v>
      </c>
      <c r="R33" s="1560" t="s">
        <v>8</v>
      </c>
      <c r="S33" s="1561" t="e">
        <f t="shared" si="12"/>
        <v>#N/A</v>
      </c>
      <c r="T33" s="1560" t="s">
        <v>8</v>
      </c>
      <c r="U33" s="1561" t="e">
        <f t="shared" si="13"/>
        <v>#N/A</v>
      </c>
      <c r="V33" s="1560" t="s">
        <v>8</v>
      </c>
      <c r="W33" s="1561" t="e">
        <f t="shared" si="14"/>
        <v>#N/A</v>
      </c>
      <c r="X33" s="1554"/>
      <c r="Y33" s="340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8"/>
      <c r="Q34" s="1147" t="str">
        <f t="shared" si="11"/>
        <v>物业管理</v>
      </c>
      <c r="R34" s="1555" t="s">
        <v>8</v>
      </c>
      <c r="S34" s="1556">
        <f t="shared" si="12"/>
        <v>100</v>
      </c>
      <c r="T34" s="1555" t="s">
        <v>8</v>
      </c>
      <c r="U34" s="1556">
        <f t="shared" si="13"/>
        <v>100</v>
      </c>
      <c r="V34" s="1555" t="s">
        <v>8</v>
      </c>
      <c r="W34" s="1556">
        <f t="shared" si="14"/>
        <v>100</v>
      </c>
      <c r="X34" s="1557"/>
      <c r="Y34" s="3408"/>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8" t="s">
        <v>550</v>
      </c>
      <c r="Q35" s="1559" t="str">
        <f t="shared" si="11"/>
        <v>市政基础设施</v>
      </c>
      <c r="R35" s="1560" t="s">
        <v>8</v>
      </c>
      <c r="S35" s="1561">
        <f t="shared" si="12"/>
        <v>100</v>
      </c>
      <c r="T35" s="1560" t="s">
        <v>8</v>
      </c>
      <c r="U35" s="1561">
        <f t="shared" si="13"/>
        <v>100</v>
      </c>
      <c r="V35" s="1560" t="s">
        <v>8</v>
      </c>
      <c r="W35" s="1561">
        <f t="shared" si="14"/>
        <v>100</v>
      </c>
      <c r="X35" s="1554"/>
      <c r="Y35" s="340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8"/>
      <c r="Q36" s="1559" t="str">
        <f t="shared" si="11"/>
        <v>内部装修</v>
      </c>
      <c r="R36" s="1560" t="s">
        <v>8</v>
      </c>
      <c r="S36" s="1561">
        <f t="shared" si="12"/>
        <v>100</v>
      </c>
      <c r="T36" s="1560" t="s">
        <v>8</v>
      </c>
      <c r="U36" s="1561">
        <f t="shared" si="13"/>
        <v>100</v>
      </c>
      <c r="V36" s="1560" t="s">
        <v>8</v>
      </c>
      <c r="W36" s="1561">
        <f t="shared" si="14"/>
        <v>100</v>
      </c>
      <c r="X36" s="1554"/>
      <c r="Y36" s="340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8"/>
      <c r="Q37" s="1559" t="str">
        <f t="shared" si="11"/>
        <v>内部装修状况</v>
      </c>
      <c r="R37" s="1560" t="s">
        <v>8</v>
      </c>
      <c r="S37" s="1561">
        <f t="shared" si="12"/>
        <v>100</v>
      </c>
      <c r="T37" s="1560" t="s">
        <v>8</v>
      </c>
      <c r="U37" s="1561">
        <f t="shared" si="13"/>
        <v>100</v>
      </c>
      <c r="V37" s="1560" t="s">
        <v>8</v>
      </c>
      <c r="W37" s="1561">
        <f t="shared" si="14"/>
        <v>100</v>
      </c>
      <c r="X37" s="1554"/>
      <c r="Y37" s="340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8"/>
      <c r="Q38" s="1591">
        <f t="shared" si="11"/>
        <v>111</v>
      </c>
      <c r="R38" s="1564" t="s">
        <v>8</v>
      </c>
      <c r="S38" s="1565">
        <f t="shared" si="12"/>
        <v>100</v>
      </c>
      <c r="T38" s="1564" t="s">
        <v>8</v>
      </c>
      <c r="U38" s="1565">
        <f t="shared" si="13"/>
        <v>100</v>
      </c>
      <c r="V38" s="1564" t="s">
        <v>8</v>
      </c>
      <c r="W38" s="1565">
        <f t="shared" si="14"/>
        <v>100</v>
      </c>
      <c r="X38" s="1566"/>
      <c r="Y38" s="340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8"/>
      <c r="Q39" s="1559">
        <f t="shared" si="11"/>
        <v>111</v>
      </c>
      <c r="R39" s="1560" t="s">
        <v>8</v>
      </c>
      <c r="S39" s="1561">
        <f t="shared" si="12"/>
        <v>100</v>
      </c>
      <c r="T39" s="1560" t="s">
        <v>8</v>
      </c>
      <c r="U39" s="1561">
        <f t="shared" si="13"/>
        <v>100</v>
      </c>
      <c r="V39" s="1560" t="s">
        <v>8</v>
      </c>
      <c r="W39" s="1561">
        <f t="shared" si="14"/>
        <v>100</v>
      </c>
      <c r="X39" s="1554"/>
      <c r="Y39" s="340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09"/>
      <c r="Q40" s="1559">
        <f t="shared" si="11"/>
        <v>111</v>
      </c>
      <c r="R40" s="1560" t="s">
        <v>8</v>
      </c>
      <c r="S40" s="1561">
        <f t="shared" si="12"/>
        <v>100</v>
      </c>
      <c r="T40" s="1560" t="s">
        <v>8</v>
      </c>
      <c r="U40" s="1561">
        <f t="shared" si="13"/>
        <v>100</v>
      </c>
      <c r="V40" s="1560" t="s">
        <v>8</v>
      </c>
      <c r="W40" s="1561">
        <f t="shared" si="14"/>
        <v>100</v>
      </c>
      <c r="X40" s="1554"/>
      <c r="Y40" s="3509"/>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3" t="str">
        <f>A41</f>
        <v>成交单价（元/平方米）</v>
      </c>
      <c r="Q41" s="3403"/>
      <c r="R41" s="3508">
        <f>E41</f>
        <v>0</v>
      </c>
      <c r="S41" s="3508"/>
      <c r="T41" s="3508">
        <f>G41</f>
        <v>0</v>
      </c>
      <c r="U41" s="3508"/>
      <c r="V41" s="3508">
        <f>I41</f>
        <v>0</v>
      </c>
      <c r="W41" s="3508"/>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03" t="str">
        <f>A42</f>
        <v>比较价格（元/平方米）</v>
      </c>
      <c r="Q42" s="3403"/>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46"/>
      <c r="Y42" s="1546"/>
      <c r="Z42" s="1546"/>
      <c r="AA42" s="1546"/>
      <c r="AB42" s="1546"/>
      <c r="AC42" s="1546"/>
    </row>
    <row r="43" spans="1:29" ht="15.75" thickBot="1">
      <c r="A43" s="621" t="s">
        <v>2933</v>
      </c>
      <c r="B43" s="622"/>
      <c r="C43" s="2601" t="e">
        <f>R43</f>
        <v>#DIV/0!</v>
      </c>
      <c r="D43" s="2601"/>
      <c r="E43" s="2601"/>
      <c r="F43" s="2601"/>
      <c r="G43" s="2601"/>
      <c r="H43" s="2601"/>
      <c r="I43" s="2601"/>
      <c r="J43" s="2601"/>
      <c r="K43" s="1599"/>
      <c r="L43" s="2130"/>
      <c r="M43" s="2131"/>
      <c r="N43" s="2131"/>
      <c r="O43" s="2131"/>
      <c r="P43" s="3425" t="str">
        <f>A43</f>
        <v>估价对象XX用房的比较价格（楼面单价，元/平方米）</v>
      </c>
      <c r="Q43" s="3426"/>
      <c r="R43" s="3507" t="e">
        <f>IF(F1="售价",ROUND(AVERAGE(R42:V42),0),ROUND(AVERAGE(R42:V42),1))</f>
        <v>#DIV/0!</v>
      </c>
      <c r="S43" s="3507"/>
      <c r="T43" s="3507"/>
      <c r="U43" s="3507"/>
      <c r="V43" s="3507"/>
      <c r="W43" s="350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2019-4</v>
      </c>
      <c r="D52" s="2760">
        <f>EDATE(C52,-1)</f>
        <v>43525</v>
      </c>
      <c r="E52" s="2760">
        <f t="shared" ref="E52:O52" si="16">EDATE(D52,-1)</f>
        <v>43497</v>
      </c>
      <c r="F52" s="2760">
        <f t="shared" si="16"/>
        <v>43466</v>
      </c>
      <c r="G52" s="2760">
        <f t="shared" si="16"/>
        <v>43435</v>
      </c>
      <c r="H52" s="2760">
        <f t="shared" si="16"/>
        <v>43405</v>
      </c>
      <c r="I52" s="2760">
        <f t="shared" si="16"/>
        <v>43374</v>
      </c>
      <c r="J52" s="2760">
        <f t="shared" si="16"/>
        <v>43344</v>
      </c>
      <c r="K52" s="2760">
        <f t="shared" si="16"/>
        <v>43313</v>
      </c>
      <c r="L52" s="2760">
        <f t="shared" si="16"/>
        <v>43282</v>
      </c>
      <c r="M52" s="2760">
        <f t="shared" si="16"/>
        <v>43252</v>
      </c>
      <c r="N52" s="2760">
        <f t="shared" si="16"/>
        <v>43221</v>
      </c>
      <c r="O52" s="2760">
        <f t="shared" si="16"/>
        <v>43191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9" priority="16" stopIfTrue="1" operator="containsText" text="超过">
      <formula>NOT(ISERROR(SEARCH("超过",F46)))</formula>
    </cfRule>
  </conditionalFormatting>
  <conditionalFormatting sqref="H48">
    <cfRule type="containsText" dxfId="58" priority="15" stopIfTrue="1" operator="containsText" text="超过">
      <formula>NOT(ISERROR(SEARCH("超过",H48)))</formula>
    </cfRule>
  </conditionalFormatting>
  <conditionalFormatting sqref="F48">
    <cfRule type="containsText" dxfId="57" priority="14" stopIfTrue="1" operator="containsText" text="超过">
      <formula>NOT(ISERROR(SEARCH("超过",F48)))</formula>
    </cfRule>
  </conditionalFormatting>
  <conditionalFormatting sqref="F47 H47">
    <cfRule type="containsText" dxfId="56" priority="13" stopIfTrue="1" operator="containsText" text="超过">
      <formula>NOT(ISERROR(SEARCH("超过",F47)))</formula>
    </cfRule>
  </conditionalFormatting>
  <conditionalFormatting sqref="E46">
    <cfRule type="expression" dxfId="55" priority="12" stopIfTrue="1">
      <formula>$F$46="超过30%"</formula>
    </cfRule>
  </conditionalFormatting>
  <conditionalFormatting sqref="E47">
    <cfRule type="expression" dxfId="54" priority="11" stopIfTrue="1">
      <formula>$F$47="超过20%"</formula>
    </cfRule>
  </conditionalFormatting>
  <conditionalFormatting sqref="E48">
    <cfRule type="expression" dxfId="53" priority="10" stopIfTrue="1">
      <formula>$F$48="超过30%"</formula>
    </cfRule>
  </conditionalFormatting>
  <conditionalFormatting sqref="G48">
    <cfRule type="expression" dxfId="52" priority="9" stopIfTrue="1">
      <formula>$H$48="超过30%"</formula>
    </cfRule>
  </conditionalFormatting>
  <conditionalFormatting sqref="G46">
    <cfRule type="expression" dxfId="51" priority="8" stopIfTrue="1">
      <formula>$H$46="超过30%"</formula>
    </cfRule>
  </conditionalFormatting>
  <conditionalFormatting sqref="G47">
    <cfRule type="expression" dxfId="50" priority="7" stopIfTrue="1">
      <formula>$H$47="超过20%"</formula>
    </cfRule>
  </conditionalFormatting>
  <conditionalFormatting sqref="J46">
    <cfRule type="containsText" dxfId="49" priority="6" stopIfTrue="1" operator="containsText" text="超过">
      <formula>NOT(ISERROR(SEARCH("超过",J46)))</formula>
    </cfRule>
  </conditionalFormatting>
  <conditionalFormatting sqref="J48">
    <cfRule type="containsText" dxfId="48" priority="5" stopIfTrue="1" operator="containsText" text="超过">
      <formula>NOT(ISERROR(SEARCH("超过",J48)))</formula>
    </cfRule>
  </conditionalFormatting>
  <conditionalFormatting sqref="J47">
    <cfRule type="containsText" dxfId="47" priority="4" stopIfTrue="1" operator="containsText" text="超过">
      <formula>NOT(ISERROR(SEARCH("超过",J47)))</formula>
    </cfRule>
  </conditionalFormatting>
  <conditionalFormatting sqref="I46">
    <cfRule type="expression" dxfId="46" priority="3" stopIfTrue="1">
      <formula>$J$46="超过30%"</formula>
    </cfRule>
  </conditionalFormatting>
  <conditionalFormatting sqref="I47">
    <cfRule type="expression" dxfId="45" priority="2" stopIfTrue="1">
      <formula>$J$47="超过20%"</formula>
    </cfRule>
  </conditionalFormatting>
  <conditionalFormatting sqref="I48">
    <cfRule type="expression" dxfId="4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L39" sqref="L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9" t="s">
        <v>798</v>
      </c>
      <c r="D4" s="3410"/>
      <c r="E4" s="3409" t="s">
        <v>799</v>
      </c>
      <c r="F4" s="3410"/>
      <c r="G4" s="3409" t="s">
        <v>800</v>
      </c>
      <c r="H4" s="3410"/>
      <c r="I4" s="3409" t="s">
        <v>801</v>
      </c>
      <c r="J4" s="3410"/>
      <c r="K4" s="514" t="s">
        <v>802</v>
      </c>
      <c r="L4" s="2119"/>
      <c r="M4" s="2120"/>
      <c r="N4" s="2120"/>
      <c r="O4" s="2120"/>
      <c r="P4" s="3411" t="s">
        <v>803</v>
      </c>
      <c r="Q4" s="3412"/>
      <c r="R4" s="3397" t="s">
        <v>799</v>
      </c>
      <c r="S4" s="3398"/>
      <c r="T4" s="3397" t="s">
        <v>800</v>
      </c>
      <c r="U4" s="3398"/>
      <c r="V4" s="3417" t="s">
        <v>801</v>
      </c>
      <c r="W4" s="3417"/>
      <c r="X4" s="1554"/>
      <c r="Y4" s="3397" t="s">
        <v>803</v>
      </c>
      <c r="Z4" s="3398"/>
      <c r="AA4" s="3392" t="s">
        <v>799</v>
      </c>
      <c r="AB4" s="3393" t="s">
        <v>800</v>
      </c>
      <c r="AC4" s="3392" t="s">
        <v>801</v>
      </c>
    </row>
    <row r="5" spans="1:29" ht="15">
      <c r="A5" s="515"/>
      <c r="B5" s="516"/>
      <c r="C5" s="3420" t="s">
        <v>2927</v>
      </c>
      <c r="D5" s="3421"/>
      <c r="E5" s="3420" t="s">
        <v>2928</v>
      </c>
      <c r="F5" s="3421"/>
      <c r="G5" s="3420" t="s">
        <v>2929</v>
      </c>
      <c r="H5" s="3421"/>
      <c r="I5" s="3420" t="s">
        <v>2930</v>
      </c>
      <c r="J5" s="3421"/>
      <c r="K5" s="514"/>
      <c r="L5" s="2119"/>
      <c r="M5" s="2120"/>
      <c r="N5" s="2120"/>
      <c r="O5" s="2120"/>
      <c r="P5" s="3413"/>
      <c r="Q5" s="3414"/>
      <c r="R5" s="3399"/>
      <c r="S5" s="3400"/>
      <c r="T5" s="3399"/>
      <c r="U5" s="3400"/>
      <c r="V5" s="3417"/>
      <c r="W5" s="3417"/>
      <c r="X5" s="1554"/>
      <c r="Y5" s="3399"/>
      <c r="Z5" s="3400"/>
      <c r="AA5" s="3393"/>
      <c r="AB5" s="3393"/>
      <c r="AC5" s="3393"/>
    </row>
    <row r="6" spans="1:29" ht="15.75" thickBot="1">
      <c r="A6" s="517"/>
      <c r="B6" s="518"/>
      <c r="C6" s="3418" t="s">
        <v>2931</v>
      </c>
      <c r="D6" s="3419"/>
      <c r="E6" s="3424" t="s">
        <v>2931</v>
      </c>
      <c r="F6" s="3423"/>
      <c r="G6" s="3418" t="s">
        <v>2931</v>
      </c>
      <c r="H6" s="3419"/>
      <c r="I6" s="3418" t="s">
        <v>2931</v>
      </c>
      <c r="J6" s="3419"/>
      <c r="K6" s="514" t="s">
        <v>528</v>
      </c>
      <c r="L6" s="2119"/>
      <c r="M6" s="2120"/>
      <c r="N6" s="2120"/>
      <c r="O6" s="2120"/>
      <c r="P6" s="3415"/>
      <c r="Q6" s="3416"/>
      <c r="R6" s="3399"/>
      <c r="S6" s="3400"/>
      <c r="T6" s="3401"/>
      <c r="U6" s="3402"/>
      <c r="V6" s="3417"/>
      <c r="W6" s="3417"/>
      <c r="X6" s="1554"/>
      <c r="Y6" s="3401"/>
      <c r="Z6" s="3402"/>
      <c r="AA6" s="3394"/>
      <c r="AB6" s="3394"/>
      <c r="AC6" s="3394"/>
    </row>
    <row r="7" spans="1:29" s="1216" customFormat="1" ht="15.75" thickBot="1">
      <c r="A7" s="2868"/>
      <c r="B7" s="2875" t="s">
        <v>529</v>
      </c>
      <c r="C7" s="519">
        <f>'数据-取费表'!B2</f>
        <v>43570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5" t="s">
        <v>530</v>
      </c>
      <c r="Q7" s="3404"/>
      <c r="R7" s="1555" t="s">
        <v>8</v>
      </c>
      <c r="S7" s="1556">
        <f t="shared" ref="S7:S14" si="0">F7</f>
        <v>0</v>
      </c>
      <c r="T7" s="1555" t="s">
        <v>8</v>
      </c>
      <c r="U7" s="1556">
        <f t="shared" ref="U7:U14" si="1">H7</f>
        <v>0</v>
      </c>
      <c r="V7" s="1555" t="s">
        <v>8</v>
      </c>
      <c r="W7" s="1556">
        <f t="shared" ref="W7:W14" si="2">J7</f>
        <v>0</v>
      </c>
      <c r="X7" s="1557"/>
      <c r="Y7" s="3395" t="s">
        <v>530</v>
      </c>
      <c r="Z7" s="3396"/>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5" t="s">
        <v>533</v>
      </c>
      <c r="Q8" s="3396"/>
      <c r="R8" s="1555" t="s">
        <v>8</v>
      </c>
      <c r="S8" s="1556">
        <f t="shared" si="0"/>
        <v>0</v>
      </c>
      <c r="T8" s="1555" t="s">
        <v>8</v>
      </c>
      <c r="U8" s="1556">
        <f t="shared" si="1"/>
        <v>0</v>
      </c>
      <c r="V8" s="1555" t="s">
        <v>8</v>
      </c>
      <c r="W8" s="1556">
        <f t="shared" si="2"/>
        <v>0</v>
      </c>
      <c r="X8" s="1557"/>
      <c r="Y8" s="3395" t="s">
        <v>533</v>
      </c>
      <c r="Z8" s="3396"/>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3" t="s">
        <v>535</v>
      </c>
      <c r="Q9" s="1147" t="str">
        <f t="shared" ref="Q9:Q14" si="6">B9</f>
        <v>用途</v>
      </c>
      <c r="R9" s="1555" t="s">
        <v>8</v>
      </c>
      <c r="S9" s="1556">
        <f t="shared" si="0"/>
        <v>100</v>
      </c>
      <c r="T9" s="1555" t="s">
        <v>8</v>
      </c>
      <c r="U9" s="1556">
        <f t="shared" si="1"/>
        <v>100</v>
      </c>
      <c r="V9" s="1555" t="s">
        <v>8</v>
      </c>
      <c r="W9" s="1556">
        <f t="shared" si="2"/>
        <v>100</v>
      </c>
      <c r="X9" s="1557"/>
      <c r="Y9" s="3347"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3"/>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3"/>
      <c r="Q11" s="1147">
        <f t="shared" si="6"/>
        <v>111</v>
      </c>
      <c r="R11" s="1555" t="s">
        <v>8</v>
      </c>
      <c r="S11" s="1556">
        <f t="shared" si="0"/>
        <v>100</v>
      </c>
      <c r="T11" s="1555" t="s">
        <v>8</v>
      </c>
      <c r="U11" s="1556">
        <f t="shared" si="1"/>
        <v>100</v>
      </c>
      <c r="V11" s="1555" t="s">
        <v>8</v>
      </c>
      <c r="W11" s="1556">
        <f t="shared" si="2"/>
        <v>100</v>
      </c>
      <c r="X11" s="1557"/>
      <c r="Y11" s="3347"/>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3"/>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3"/>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156.75">
      <c r="A14" s="2866" t="s">
        <v>2754</v>
      </c>
      <c r="B14" s="547" t="s">
        <v>543</v>
      </c>
      <c r="C14" s="921" t="str">
        <f>IF(B1="工业",估价对象房地状况!G4,估价对象房地状况!C6)</f>
        <v>估价对象周边有运通113路、运通114路、436路、481路、531路、611路、959路等多条公共交通线路，距地铁1号线（八宝山站）约2公里，综合评价交通便捷度一般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5" t="s">
        <v>540</v>
      </c>
      <c r="Q14" s="1559" t="str">
        <f t="shared" si="6"/>
        <v>交通便捷度</v>
      </c>
      <c r="R14" s="1560" t="s">
        <v>8</v>
      </c>
      <c r="S14" s="1561">
        <f t="shared" si="0"/>
        <v>100</v>
      </c>
      <c r="T14" s="1560" t="s">
        <v>8</v>
      </c>
      <c r="U14" s="1561">
        <f t="shared" si="1"/>
        <v>100</v>
      </c>
      <c r="V14" s="1560" t="s">
        <v>8</v>
      </c>
      <c r="W14" s="1561">
        <f t="shared" si="2"/>
        <v>100</v>
      </c>
      <c r="X14" s="1554"/>
      <c r="Y14" s="340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6"/>
      <c r="Q15" s="1559"/>
      <c r="R15" s="1560"/>
      <c r="S15" s="1561"/>
      <c r="T15" s="1560"/>
      <c r="U15" s="1561"/>
      <c r="V15" s="1560"/>
      <c r="W15" s="1561"/>
      <c r="X15" s="1554"/>
      <c r="Y15" s="3406"/>
      <c r="Z15" s="1562"/>
      <c r="AA15" s="1563">
        <v>1</v>
      </c>
      <c r="AB15" s="1563">
        <v>1</v>
      </c>
      <c r="AC15" s="1563">
        <v>1</v>
      </c>
    </row>
    <row r="16" spans="1:29" ht="42.75">
      <c r="A16" s="515"/>
      <c r="B16" s="2568" t="s">
        <v>2546</v>
      </c>
      <c r="C16" s="872" t="str">
        <f>IF(B1="工业",估价对象房地状况!G5,估价对象房地状况!C7)</f>
        <v>估价对象所在区域公共配套设施齐备情况较齐备</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6"/>
      <c r="Q16" s="1559" t="str">
        <f>B16</f>
        <v>公共配套设施</v>
      </c>
      <c r="R16" s="1560" t="s">
        <v>8</v>
      </c>
      <c r="S16" s="1561">
        <f>F16</f>
        <v>100</v>
      </c>
      <c r="T16" s="1560" t="s">
        <v>8</v>
      </c>
      <c r="U16" s="1561">
        <f>H16</f>
        <v>100</v>
      </c>
      <c r="V16" s="1560" t="s">
        <v>8</v>
      </c>
      <c r="W16" s="1561">
        <f>J16</f>
        <v>100</v>
      </c>
      <c r="X16" s="1554"/>
      <c r="Y16" s="340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6"/>
      <c r="Q17" s="1559"/>
      <c r="R17" s="1560"/>
      <c r="S17" s="1561"/>
      <c r="T17" s="1560"/>
      <c r="U17" s="1561"/>
      <c r="V17" s="1560"/>
      <c r="W17" s="1561"/>
      <c r="X17" s="1554"/>
      <c r="Y17" s="3406"/>
      <c r="Z17" s="1562"/>
      <c r="AA17" s="1563">
        <v>1</v>
      </c>
      <c r="AB17" s="1563">
        <v>1</v>
      </c>
      <c r="AC17" s="1563">
        <v>1</v>
      </c>
    </row>
    <row r="18" spans="1:29" ht="15">
      <c r="A18" s="515"/>
      <c r="B18" s="2556" t="s">
        <v>2558</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6"/>
      <c r="Q18" s="2544" t="str">
        <f>B18</f>
        <v>基础设施水平</v>
      </c>
      <c r="R18" s="1560" t="s">
        <v>8</v>
      </c>
      <c r="S18" s="1561">
        <f>F18</f>
        <v>100</v>
      </c>
      <c r="T18" s="1560" t="s">
        <v>8</v>
      </c>
      <c r="U18" s="1561">
        <f>H18</f>
        <v>100</v>
      </c>
      <c r="V18" s="1560" t="s">
        <v>8</v>
      </c>
      <c r="W18" s="1561">
        <f>J18</f>
        <v>100</v>
      </c>
      <c r="X18" s="2546"/>
      <c r="Y18" s="3406"/>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6"/>
      <c r="Q19" s="2544"/>
      <c r="R19" s="1560"/>
      <c r="S19" s="1561"/>
      <c r="T19" s="1560"/>
      <c r="U19" s="1561"/>
      <c r="V19" s="1560"/>
      <c r="W19" s="1561"/>
      <c r="X19" s="2546"/>
      <c r="Y19" s="3406"/>
      <c r="Z19" s="2545"/>
      <c r="AA19" s="1563">
        <v>1</v>
      </c>
      <c r="AB19" s="1563">
        <v>1</v>
      </c>
      <c r="AC19" s="1563">
        <v>1</v>
      </c>
    </row>
    <row r="20" spans="1:29" ht="128.25">
      <c r="A20" s="515"/>
      <c r="B20" s="560" t="s">
        <v>804</v>
      </c>
      <c r="C20" s="872" t="str">
        <f>IF(B1="工业",估价对象房地状况!G7,估价对象房地状况!C9)</f>
        <v>区域自然环境：火车头广场、北京园博园；人文环境：北京市第一中级人民法院、北京市第四中级人民法院；综合评价环境状况较好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6"/>
      <c r="Q20" s="1559" t="str">
        <f>B20</f>
        <v>自然及人文环境</v>
      </c>
      <c r="R20" s="1560" t="s">
        <v>8</v>
      </c>
      <c r="S20" s="1561">
        <f>F20</f>
        <v>100</v>
      </c>
      <c r="T20" s="1560" t="s">
        <v>8</v>
      </c>
      <c r="U20" s="1561">
        <f>H20</f>
        <v>100</v>
      </c>
      <c r="V20" s="1560" t="s">
        <v>8</v>
      </c>
      <c r="W20" s="1561">
        <f>J20</f>
        <v>100</v>
      </c>
      <c r="X20" s="1554"/>
      <c r="Y20" s="340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6"/>
      <c r="Q21" s="1559"/>
      <c r="R21" s="1560"/>
      <c r="S21" s="1561"/>
      <c r="T21" s="1560"/>
      <c r="U21" s="1561"/>
      <c r="V21" s="1560"/>
      <c r="W21" s="1561"/>
      <c r="X21" s="1554"/>
      <c r="Y21" s="340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6"/>
      <c r="Q22" s="1559" t="str">
        <f>B22</f>
        <v>楼层</v>
      </c>
      <c r="R22" s="1560" t="s">
        <v>8</v>
      </c>
      <c r="S22" s="1561">
        <f>F22</f>
        <v>100</v>
      </c>
      <c r="T22" s="1560" t="s">
        <v>8</v>
      </c>
      <c r="U22" s="1561">
        <f>H22</f>
        <v>100</v>
      </c>
      <c r="V22" s="1560" t="s">
        <v>8</v>
      </c>
      <c r="W22" s="1561">
        <f>J22</f>
        <v>100</v>
      </c>
      <c r="X22" s="1554"/>
      <c r="Y22" s="340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6"/>
      <c r="Q23" s="1559">
        <f>B23</f>
        <v>111</v>
      </c>
      <c r="R23" s="1560" t="s">
        <v>8</v>
      </c>
      <c r="S23" s="1561">
        <f>F23</f>
        <v>100</v>
      </c>
      <c r="T23" s="1560" t="s">
        <v>8</v>
      </c>
      <c r="U23" s="1561">
        <f>H23</f>
        <v>100</v>
      </c>
      <c r="V23" s="1560" t="s">
        <v>8</v>
      </c>
      <c r="W23" s="1561">
        <f>J23</f>
        <v>100</v>
      </c>
      <c r="X23" s="1554"/>
      <c r="Y23" s="340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6"/>
      <c r="Q24" s="1559">
        <f t="shared" ref="Q24:Q36" si="11">B24</f>
        <v>111</v>
      </c>
      <c r="R24" s="1560" t="s">
        <v>8</v>
      </c>
      <c r="S24" s="1561">
        <f>F24</f>
        <v>100</v>
      </c>
      <c r="T24" s="1560" t="s">
        <v>8</v>
      </c>
      <c r="U24" s="1561">
        <f>H24</f>
        <v>100</v>
      </c>
      <c r="V24" s="1560" t="s">
        <v>8</v>
      </c>
      <c r="W24" s="1561">
        <f>J24</f>
        <v>100</v>
      </c>
      <c r="X24" s="1554"/>
      <c r="Y24" s="340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6"/>
      <c r="Q25" s="1147">
        <f t="shared" si="11"/>
        <v>111</v>
      </c>
      <c r="R25" s="1555" t="s">
        <v>8</v>
      </c>
      <c r="S25" s="1556">
        <f>F25</f>
        <v>100</v>
      </c>
      <c r="T25" s="1555" t="s">
        <v>8</v>
      </c>
      <c r="U25" s="1556">
        <f>H25</f>
        <v>100</v>
      </c>
      <c r="V25" s="1555" t="s">
        <v>8</v>
      </c>
      <c r="W25" s="1556">
        <f>J25</f>
        <v>100</v>
      </c>
      <c r="X25" s="1557"/>
      <c r="Y25" s="3406"/>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8"/>
      <c r="Q27" s="1591" t="str">
        <f t="shared" si="11"/>
        <v>项目停车位配比</v>
      </c>
      <c r="R27" s="1564" t="s">
        <v>8</v>
      </c>
      <c r="S27" s="1565">
        <f t="shared" si="12"/>
        <v>100</v>
      </c>
      <c r="T27" s="1564" t="s">
        <v>8</v>
      </c>
      <c r="U27" s="1565">
        <f t="shared" si="13"/>
        <v>100</v>
      </c>
      <c r="V27" s="1564" t="s">
        <v>8</v>
      </c>
      <c r="W27" s="1565">
        <f t="shared" si="14"/>
        <v>100</v>
      </c>
      <c r="X27" s="1566"/>
      <c r="Y27" s="340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8"/>
      <c r="Q28" s="1559" t="str">
        <f t="shared" si="11"/>
        <v>公共部分装修</v>
      </c>
      <c r="R28" s="1560" t="s">
        <v>8</v>
      </c>
      <c r="S28" s="1561">
        <f t="shared" si="12"/>
        <v>100</v>
      </c>
      <c r="T28" s="1560" t="s">
        <v>8</v>
      </c>
      <c r="U28" s="1561">
        <f t="shared" si="13"/>
        <v>100</v>
      </c>
      <c r="V28" s="1560" t="s">
        <v>8</v>
      </c>
      <c r="W28" s="1561">
        <f t="shared" si="14"/>
        <v>100</v>
      </c>
      <c r="X28" s="1554"/>
      <c r="Y28" s="340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8"/>
      <c r="Q29" s="1559" t="str">
        <f t="shared" si="11"/>
        <v>成新率</v>
      </c>
      <c r="R29" s="1560" t="s">
        <v>8</v>
      </c>
      <c r="S29" s="1561" t="e">
        <f t="shared" si="12"/>
        <v>#N/A</v>
      </c>
      <c r="T29" s="1560" t="s">
        <v>8</v>
      </c>
      <c r="U29" s="1561" t="e">
        <f t="shared" si="13"/>
        <v>#N/A</v>
      </c>
      <c r="V29" s="1560" t="s">
        <v>8</v>
      </c>
      <c r="W29" s="1561" t="e">
        <f t="shared" si="14"/>
        <v>#N/A</v>
      </c>
      <c r="X29" s="1554"/>
      <c r="Y29" s="340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8"/>
      <c r="Q30" s="1559" t="str">
        <f t="shared" si="11"/>
        <v>物业等级</v>
      </c>
      <c r="R30" s="1560" t="s">
        <v>8</v>
      </c>
      <c r="S30" s="1561">
        <f t="shared" si="12"/>
        <v>100</v>
      </c>
      <c r="T30" s="1560" t="s">
        <v>8</v>
      </c>
      <c r="U30" s="1561">
        <f t="shared" si="13"/>
        <v>100</v>
      </c>
      <c r="V30" s="1560" t="s">
        <v>8</v>
      </c>
      <c r="W30" s="1561">
        <f t="shared" si="14"/>
        <v>100</v>
      </c>
      <c r="X30" s="1554"/>
      <c r="Y30" s="340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8"/>
      <c r="Q31" s="1147" t="str">
        <f t="shared" si="11"/>
        <v>停车位面积</v>
      </c>
      <c r="R31" s="1555" t="s">
        <v>8</v>
      </c>
      <c r="S31" s="1556" t="e">
        <f t="shared" si="12"/>
        <v>#N/A</v>
      </c>
      <c r="T31" s="1555" t="s">
        <v>8</v>
      </c>
      <c r="U31" s="1556" t="e">
        <f t="shared" si="13"/>
        <v>#N/A</v>
      </c>
      <c r="V31" s="1555" t="s">
        <v>8</v>
      </c>
      <c r="W31" s="1556" t="e">
        <f t="shared" si="14"/>
        <v>#N/A</v>
      </c>
      <c r="X31" s="1557"/>
      <c r="Y31" s="340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8" t="s">
        <v>550</v>
      </c>
      <c r="Q32" s="1559" t="str">
        <f t="shared" si="11"/>
        <v>车位类型</v>
      </c>
      <c r="R32" s="1560" t="s">
        <v>8</v>
      </c>
      <c r="S32" s="1561">
        <f t="shared" si="12"/>
        <v>100</v>
      </c>
      <c r="T32" s="1560" t="s">
        <v>8</v>
      </c>
      <c r="U32" s="1561">
        <f t="shared" si="13"/>
        <v>100</v>
      </c>
      <c r="V32" s="1560" t="s">
        <v>8</v>
      </c>
      <c r="W32" s="1561">
        <f t="shared" si="14"/>
        <v>100</v>
      </c>
      <c r="X32" s="1554"/>
      <c r="Y32" s="340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8"/>
      <c r="Q33" s="1559" t="str">
        <f t="shared" si="11"/>
        <v>是否直接入户</v>
      </c>
      <c r="R33" s="1560" t="s">
        <v>8</v>
      </c>
      <c r="S33" s="1561">
        <f t="shared" si="12"/>
        <v>100</v>
      </c>
      <c r="T33" s="1560" t="s">
        <v>8</v>
      </c>
      <c r="U33" s="1561">
        <f t="shared" si="13"/>
        <v>100</v>
      </c>
      <c r="V33" s="1560" t="s">
        <v>8</v>
      </c>
      <c r="W33" s="1561">
        <f t="shared" si="14"/>
        <v>100</v>
      </c>
      <c r="X33" s="1554"/>
      <c r="Y33" s="340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8"/>
      <c r="Q34" s="1559">
        <f t="shared" si="11"/>
        <v>111</v>
      </c>
      <c r="R34" s="1560" t="s">
        <v>8</v>
      </c>
      <c r="S34" s="1561">
        <f t="shared" si="12"/>
        <v>100</v>
      </c>
      <c r="T34" s="1560" t="s">
        <v>8</v>
      </c>
      <c r="U34" s="1561">
        <f t="shared" si="13"/>
        <v>100</v>
      </c>
      <c r="V34" s="1560" t="s">
        <v>8</v>
      </c>
      <c r="W34" s="1561">
        <f t="shared" si="14"/>
        <v>100</v>
      </c>
      <c r="X34" s="1554"/>
      <c r="Y34" s="340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8"/>
      <c r="Q35" s="1591">
        <f t="shared" si="11"/>
        <v>111</v>
      </c>
      <c r="R35" s="1564" t="s">
        <v>8</v>
      </c>
      <c r="S35" s="1565">
        <f t="shared" si="12"/>
        <v>100</v>
      </c>
      <c r="T35" s="1564" t="s">
        <v>8</v>
      </c>
      <c r="U35" s="1565">
        <f t="shared" si="13"/>
        <v>100</v>
      </c>
      <c r="V35" s="1564" t="s">
        <v>8</v>
      </c>
      <c r="W35" s="1565">
        <f t="shared" si="14"/>
        <v>100</v>
      </c>
      <c r="X35" s="1566"/>
      <c r="Y35" s="340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8"/>
      <c r="Q36" s="1559">
        <f t="shared" si="11"/>
        <v>111</v>
      </c>
      <c r="R36" s="1560" t="s">
        <v>8</v>
      </c>
      <c r="S36" s="1561">
        <f t="shared" si="12"/>
        <v>100</v>
      </c>
      <c r="T36" s="1560" t="s">
        <v>8</v>
      </c>
      <c r="U36" s="1561">
        <f t="shared" si="13"/>
        <v>100</v>
      </c>
      <c r="V36" s="1560" t="s">
        <v>8</v>
      </c>
      <c r="W36" s="1561">
        <f t="shared" si="14"/>
        <v>100</v>
      </c>
      <c r="X36" s="1554"/>
      <c r="Y36" s="3408"/>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03" t="str">
        <f>A37</f>
        <v>成交单价</v>
      </c>
      <c r="Q37" s="3403"/>
      <c r="R37" s="3508">
        <f>E37</f>
        <v>0</v>
      </c>
      <c r="S37" s="3508"/>
      <c r="T37" s="3508">
        <f>G37</f>
        <v>0</v>
      </c>
      <c r="U37" s="3508"/>
      <c r="V37" s="3508">
        <f>I37</f>
        <v>0</v>
      </c>
      <c r="W37" s="3508"/>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03" t="str">
        <f>A38</f>
        <v>比较价格（元/平方米）</v>
      </c>
      <c r="Q38" s="3403"/>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1546"/>
      <c r="Y38" s="1546"/>
      <c r="Z38" s="1546"/>
      <c r="AA38" s="1546"/>
      <c r="AB38" s="1546"/>
      <c r="AC38" s="1546"/>
    </row>
    <row r="39" spans="1:29" ht="15.75" thickBot="1">
      <c r="A39" s="621" t="s">
        <v>2933</v>
      </c>
      <c r="B39" s="622"/>
      <c r="C39" s="2601" t="e">
        <f>R39</f>
        <v>#DIV/0!</v>
      </c>
      <c r="D39" s="2601"/>
      <c r="E39" s="2601"/>
      <c r="F39" s="2601"/>
      <c r="G39" s="2601"/>
      <c r="H39" s="2601"/>
      <c r="I39" s="2601"/>
      <c r="J39" s="2601"/>
      <c r="K39" s="1599"/>
      <c r="L39" s="2130"/>
      <c r="M39" s="2131"/>
      <c r="N39" s="2131"/>
      <c r="O39" s="2131"/>
      <c r="P39" s="3425" t="str">
        <f>A39</f>
        <v>估价对象XX用房的比较价格（楼面单价，元/平方米）</v>
      </c>
      <c r="Q39" s="3426"/>
      <c r="R39" s="3507" t="e">
        <f>IF(F1="售价",ROUND(AVERAGE(R38:V38),0),ROUND(AVERAGE(R38:V38),1))</f>
        <v>#DIV/0!</v>
      </c>
      <c r="S39" s="3507"/>
      <c r="T39" s="3507"/>
      <c r="U39" s="3507"/>
      <c r="V39" s="3507"/>
      <c r="W39" s="350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2019-4</v>
      </c>
      <c r="D48" s="2760">
        <f>EDATE(C48,-1)</f>
        <v>43525</v>
      </c>
      <c r="E48" s="2760">
        <f t="shared" ref="E48:O48" si="16">EDATE(D48,-1)</f>
        <v>43497</v>
      </c>
      <c r="F48" s="2760">
        <f t="shared" si="16"/>
        <v>43466</v>
      </c>
      <c r="G48" s="2760">
        <f t="shared" si="16"/>
        <v>43435</v>
      </c>
      <c r="H48" s="2760">
        <f t="shared" si="16"/>
        <v>43405</v>
      </c>
      <c r="I48" s="2760">
        <f t="shared" si="16"/>
        <v>43374</v>
      </c>
      <c r="J48" s="2760">
        <f t="shared" si="16"/>
        <v>43344</v>
      </c>
      <c r="K48" s="2760">
        <f t="shared" si="16"/>
        <v>43313</v>
      </c>
      <c r="L48" s="2760">
        <f t="shared" si="16"/>
        <v>43282</v>
      </c>
      <c r="M48" s="2760">
        <f t="shared" si="16"/>
        <v>43252</v>
      </c>
      <c r="N48" s="2760">
        <f t="shared" si="16"/>
        <v>43221</v>
      </c>
      <c r="O48" s="2760">
        <f t="shared" si="16"/>
        <v>43191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4" stopIfTrue="1" operator="containsText" text="超过">
      <formula>NOT(ISERROR(SEARCH("超过",F42)))</formula>
    </cfRule>
  </conditionalFormatting>
  <conditionalFormatting sqref="J44">
    <cfRule type="containsText" dxfId="42" priority="13" stopIfTrue="1" operator="containsText" text="超过">
      <formula>NOT(ISERROR(SEARCH("超过",J44)))</formula>
    </cfRule>
  </conditionalFormatting>
  <conditionalFormatting sqref="H44">
    <cfRule type="containsText" dxfId="41" priority="12" stopIfTrue="1" operator="containsText" text="超过">
      <formula>NOT(ISERROR(SEARCH("超过",H44)))</formula>
    </cfRule>
  </conditionalFormatting>
  <conditionalFormatting sqref="F44">
    <cfRule type="containsText" dxfId="40" priority="11" stopIfTrue="1" operator="containsText" text="超过">
      <formula>NOT(ISERROR(SEARCH("超过",F44)))</formula>
    </cfRule>
  </conditionalFormatting>
  <conditionalFormatting sqref="F43 H43 J43">
    <cfRule type="containsText" dxfId="39" priority="10" stopIfTrue="1" operator="containsText" text="超过">
      <formula>NOT(ISERROR(SEARCH("超过",F43)))</formula>
    </cfRule>
  </conditionalFormatting>
  <conditionalFormatting sqref="E42">
    <cfRule type="expression" dxfId="38" priority="9" stopIfTrue="1">
      <formula>$F$42="超过30%"</formula>
    </cfRule>
  </conditionalFormatting>
  <conditionalFormatting sqref="G44">
    <cfRule type="expression" dxfId="37" priority="8" stopIfTrue="1">
      <formula>$H$54+$H$44="超过30%"</formula>
    </cfRule>
  </conditionalFormatting>
  <conditionalFormatting sqref="E43">
    <cfRule type="expression" dxfId="36" priority="7" stopIfTrue="1">
      <formula>$F$43="超过20%"</formula>
    </cfRule>
  </conditionalFormatting>
  <conditionalFormatting sqref="E44">
    <cfRule type="expression" dxfId="35" priority="6" stopIfTrue="1">
      <formula>$F$44="超过30%"</formula>
    </cfRule>
  </conditionalFormatting>
  <conditionalFormatting sqref="G42">
    <cfRule type="expression" dxfId="34" priority="5" stopIfTrue="1">
      <formula>$H$52+$H$42="超过30%"</formula>
    </cfRule>
  </conditionalFormatting>
  <conditionalFormatting sqref="G43">
    <cfRule type="expression" dxfId="33" priority="4" stopIfTrue="1">
      <formula>$H$43="超过20%"</formula>
    </cfRule>
  </conditionalFormatting>
  <conditionalFormatting sqref="I42">
    <cfRule type="expression" dxfId="32" priority="3" stopIfTrue="1">
      <formula>$J$52+$J$42="超过30%"</formula>
    </cfRule>
  </conditionalFormatting>
  <conditionalFormatting sqref="I43">
    <cfRule type="expression" dxfId="31" priority="2" stopIfTrue="1">
      <formula>$J$53+$J$43="超过20%"</formula>
    </cfRule>
  </conditionalFormatting>
  <conditionalFormatting sqref="I44">
    <cfRule type="expression" dxfId="3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L39" sqref="L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9" t="s">
        <v>798</v>
      </c>
      <c r="D4" s="3410"/>
      <c r="E4" s="3434" t="s">
        <v>799</v>
      </c>
      <c r="F4" s="3435"/>
      <c r="G4" s="3409" t="s">
        <v>800</v>
      </c>
      <c r="H4" s="3410"/>
      <c r="I4" s="3409" t="s">
        <v>801</v>
      </c>
      <c r="J4" s="3410"/>
      <c r="K4" s="514" t="s">
        <v>802</v>
      </c>
      <c r="L4" s="2119"/>
      <c r="M4" s="2120"/>
      <c r="N4" s="2120"/>
      <c r="O4" s="2120"/>
      <c r="P4" s="3411" t="s">
        <v>803</v>
      </c>
      <c r="Q4" s="3412"/>
      <c r="R4" s="3397" t="s">
        <v>799</v>
      </c>
      <c r="S4" s="3398"/>
      <c r="T4" s="3397" t="s">
        <v>800</v>
      </c>
      <c r="U4" s="3398"/>
      <c r="V4" s="3417" t="s">
        <v>801</v>
      </c>
      <c r="W4" s="3417"/>
      <c r="X4" s="1554"/>
      <c r="Y4" s="3397" t="s">
        <v>803</v>
      </c>
      <c r="Z4" s="3398"/>
      <c r="AA4" s="3392" t="s">
        <v>799</v>
      </c>
      <c r="AB4" s="3393" t="s">
        <v>800</v>
      </c>
      <c r="AC4" s="3392" t="s">
        <v>801</v>
      </c>
    </row>
    <row r="5" spans="1:29" ht="15">
      <c r="A5" s="515"/>
      <c r="B5" s="516"/>
      <c r="C5" s="3420" t="s">
        <v>2927</v>
      </c>
      <c r="D5" s="3421"/>
      <c r="E5" s="3436" t="s">
        <v>2928</v>
      </c>
      <c r="F5" s="3437"/>
      <c r="G5" s="3420" t="s">
        <v>2929</v>
      </c>
      <c r="H5" s="3421"/>
      <c r="I5" s="3420" t="s">
        <v>2930</v>
      </c>
      <c r="J5" s="3421"/>
      <c r="K5" s="514"/>
      <c r="L5" s="2119"/>
      <c r="M5" s="2120"/>
      <c r="N5" s="2120"/>
      <c r="O5" s="2120"/>
      <c r="P5" s="3413"/>
      <c r="Q5" s="3414"/>
      <c r="R5" s="3399"/>
      <c r="S5" s="3400"/>
      <c r="T5" s="3399"/>
      <c r="U5" s="3400"/>
      <c r="V5" s="3417"/>
      <c r="W5" s="3417"/>
      <c r="X5" s="1554"/>
      <c r="Y5" s="3399"/>
      <c r="Z5" s="3400"/>
      <c r="AA5" s="3393"/>
      <c r="AB5" s="3393"/>
      <c r="AC5" s="3393"/>
    </row>
    <row r="6" spans="1:29" ht="15.75" thickBot="1">
      <c r="A6" s="517"/>
      <c r="B6" s="518"/>
      <c r="C6" s="3418" t="s">
        <v>2931</v>
      </c>
      <c r="D6" s="3419"/>
      <c r="E6" s="3438" t="s">
        <v>2931</v>
      </c>
      <c r="F6" s="3439"/>
      <c r="G6" s="3418" t="s">
        <v>2931</v>
      </c>
      <c r="H6" s="3419"/>
      <c r="I6" s="3418" t="s">
        <v>2931</v>
      </c>
      <c r="J6" s="3419"/>
      <c r="K6" s="514" t="s">
        <v>528</v>
      </c>
      <c r="L6" s="2119"/>
      <c r="M6" s="2120"/>
      <c r="N6" s="2120"/>
      <c r="O6" s="2120"/>
      <c r="P6" s="3415"/>
      <c r="Q6" s="3416"/>
      <c r="R6" s="3399"/>
      <c r="S6" s="3400"/>
      <c r="T6" s="3401"/>
      <c r="U6" s="3402"/>
      <c r="V6" s="3417"/>
      <c r="W6" s="3417"/>
      <c r="X6" s="1554"/>
      <c r="Y6" s="3401"/>
      <c r="Z6" s="3402"/>
      <c r="AA6" s="3394"/>
      <c r="AB6" s="3394"/>
      <c r="AC6" s="3394"/>
    </row>
    <row r="7" spans="1:29" s="1216" customFormat="1" ht="15.75" thickBot="1">
      <c r="A7" s="2868"/>
      <c r="B7" s="2875" t="s">
        <v>529</v>
      </c>
      <c r="C7" s="519">
        <f>'数据-取费表'!B2</f>
        <v>43570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5" t="s">
        <v>530</v>
      </c>
      <c r="Q7" s="3404"/>
      <c r="R7" s="1555" t="s">
        <v>8</v>
      </c>
      <c r="S7" s="1556">
        <f t="shared" ref="S7:S14" si="0">F7</f>
        <v>0</v>
      </c>
      <c r="T7" s="1555" t="s">
        <v>8</v>
      </c>
      <c r="U7" s="1556">
        <f t="shared" ref="U7:U14" si="1">H7</f>
        <v>0</v>
      </c>
      <c r="V7" s="1555" t="s">
        <v>8</v>
      </c>
      <c r="W7" s="1556">
        <f t="shared" ref="W7:W14" si="2">J7</f>
        <v>0</v>
      </c>
      <c r="X7" s="1557"/>
      <c r="Y7" s="3395" t="s">
        <v>530</v>
      </c>
      <c r="Z7" s="3396"/>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5" t="s">
        <v>533</v>
      </c>
      <c r="Q8" s="3396"/>
      <c r="R8" s="1555" t="s">
        <v>8</v>
      </c>
      <c r="S8" s="1556">
        <f t="shared" si="0"/>
        <v>0</v>
      </c>
      <c r="T8" s="1555" t="s">
        <v>8</v>
      </c>
      <c r="U8" s="1556">
        <f t="shared" si="1"/>
        <v>0</v>
      </c>
      <c r="V8" s="1555" t="s">
        <v>8</v>
      </c>
      <c r="W8" s="1556">
        <f t="shared" si="2"/>
        <v>0</v>
      </c>
      <c r="X8" s="1557"/>
      <c r="Y8" s="3395" t="s">
        <v>533</v>
      </c>
      <c r="Z8" s="3396"/>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3" t="s">
        <v>535</v>
      </c>
      <c r="Q9" s="1147" t="str">
        <f t="shared" ref="Q9:Q14" si="6">B9</f>
        <v>用途</v>
      </c>
      <c r="R9" s="1555" t="s">
        <v>8</v>
      </c>
      <c r="S9" s="1556">
        <f t="shared" si="0"/>
        <v>100</v>
      </c>
      <c r="T9" s="1555" t="s">
        <v>8</v>
      </c>
      <c r="U9" s="1556">
        <f t="shared" si="1"/>
        <v>100</v>
      </c>
      <c r="V9" s="1555" t="s">
        <v>8</v>
      </c>
      <c r="W9" s="1556">
        <f t="shared" si="2"/>
        <v>100</v>
      </c>
      <c r="X9" s="1557"/>
      <c r="Y9" s="3347"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3"/>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3"/>
      <c r="Q11" s="1147">
        <f t="shared" si="6"/>
        <v>111</v>
      </c>
      <c r="R11" s="1555" t="s">
        <v>8</v>
      </c>
      <c r="S11" s="1556">
        <f t="shared" si="0"/>
        <v>100</v>
      </c>
      <c r="T11" s="1555" t="s">
        <v>8</v>
      </c>
      <c r="U11" s="1556">
        <f t="shared" si="1"/>
        <v>100</v>
      </c>
      <c r="V11" s="1555" t="s">
        <v>8</v>
      </c>
      <c r="W11" s="1556">
        <f t="shared" si="2"/>
        <v>100</v>
      </c>
      <c r="X11" s="1557"/>
      <c r="Y11" s="3347"/>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3"/>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3"/>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156.75">
      <c r="A14" s="2866" t="s">
        <v>2754</v>
      </c>
      <c r="B14" s="166" t="s">
        <v>543</v>
      </c>
      <c r="C14" s="921" t="str">
        <f>IF(B1="工业",估价对象房地状况!G4,估价对象房地状况!C6)</f>
        <v>估价对象周边有运通113路、运通114路、436路、481路、531路、611路、959路等多条公共交通线路，距地铁1号线（八宝山站）约2公里，综合评价交通便捷度一般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5" t="s">
        <v>540</v>
      </c>
      <c r="Q14" s="1559" t="str">
        <f t="shared" si="6"/>
        <v>交通便捷度</v>
      </c>
      <c r="R14" s="1560" t="s">
        <v>8</v>
      </c>
      <c r="S14" s="1561">
        <f t="shared" si="0"/>
        <v>100</v>
      </c>
      <c r="T14" s="1560" t="s">
        <v>8</v>
      </c>
      <c r="U14" s="1561">
        <f t="shared" si="1"/>
        <v>100</v>
      </c>
      <c r="V14" s="1560" t="s">
        <v>8</v>
      </c>
      <c r="W14" s="1561">
        <f t="shared" si="2"/>
        <v>100</v>
      </c>
      <c r="X14" s="1554"/>
      <c r="Y14" s="340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6"/>
      <c r="Q15" s="1559"/>
      <c r="R15" s="1560"/>
      <c r="S15" s="1561"/>
      <c r="T15" s="1560"/>
      <c r="U15" s="1561"/>
      <c r="V15" s="1560"/>
      <c r="W15" s="1561"/>
      <c r="X15" s="1554"/>
      <c r="Y15" s="3406"/>
      <c r="Z15" s="1562"/>
      <c r="AA15" s="1563">
        <v>1</v>
      </c>
      <c r="AB15" s="1563">
        <v>1</v>
      </c>
      <c r="AC15" s="1563">
        <v>1</v>
      </c>
    </row>
    <row r="16" spans="1:29" ht="42.75">
      <c r="A16" s="532"/>
      <c r="B16" s="2568" t="s">
        <v>2546</v>
      </c>
      <c r="C16" s="872" t="str">
        <f>IF(B1="工业",估价对象房地状况!G5,估价对象房地状况!C7)</f>
        <v>估价对象所在区域公共配套设施齐备情况较齐备</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6"/>
      <c r="Q16" s="1559" t="str">
        <f>B16</f>
        <v>公共配套设施</v>
      </c>
      <c r="R16" s="1560" t="s">
        <v>8</v>
      </c>
      <c r="S16" s="1561">
        <f>F16</f>
        <v>100</v>
      </c>
      <c r="T16" s="1560" t="s">
        <v>8</v>
      </c>
      <c r="U16" s="1561">
        <f>H16</f>
        <v>100</v>
      </c>
      <c r="V16" s="1560" t="s">
        <v>8</v>
      </c>
      <c r="W16" s="1561">
        <f>J16</f>
        <v>100</v>
      </c>
      <c r="X16" s="1554"/>
      <c r="Y16" s="340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6"/>
      <c r="Q17" s="1559"/>
      <c r="R17" s="1560"/>
      <c r="S17" s="1561"/>
      <c r="T17" s="1560"/>
      <c r="U17" s="1561"/>
      <c r="V17" s="1560"/>
      <c r="W17" s="1561"/>
      <c r="X17" s="1554"/>
      <c r="Y17" s="3406"/>
      <c r="Z17" s="1562"/>
      <c r="AA17" s="1563">
        <v>1</v>
      </c>
      <c r="AB17" s="1563">
        <v>1</v>
      </c>
      <c r="AC17" s="1563">
        <v>1</v>
      </c>
    </row>
    <row r="18" spans="1:29" ht="15">
      <c r="A18" s="532"/>
      <c r="B18" s="2556" t="s">
        <v>2558</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6"/>
      <c r="Q18" s="2544" t="str">
        <f>B18</f>
        <v>基础设施水平</v>
      </c>
      <c r="R18" s="1560" t="s">
        <v>8</v>
      </c>
      <c r="S18" s="1561">
        <f>F18</f>
        <v>100</v>
      </c>
      <c r="T18" s="1560" t="s">
        <v>8</v>
      </c>
      <c r="U18" s="1561">
        <f>H18</f>
        <v>100</v>
      </c>
      <c r="V18" s="1560" t="s">
        <v>8</v>
      </c>
      <c r="W18" s="1561">
        <f>J18</f>
        <v>100</v>
      </c>
      <c r="X18" s="2546"/>
      <c r="Y18" s="3406"/>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6"/>
      <c r="Q19" s="2544"/>
      <c r="R19" s="1560"/>
      <c r="S19" s="1561"/>
      <c r="T19" s="1560"/>
      <c r="U19" s="1561"/>
      <c r="V19" s="1560"/>
      <c r="W19" s="1561"/>
      <c r="X19" s="2546"/>
      <c r="Y19" s="3406"/>
      <c r="Z19" s="2545"/>
      <c r="AA19" s="1563">
        <v>1</v>
      </c>
      <c r="AB19" s="1563">
        <v>1</v>
      </c>
      <c r="AC19" s="1563">
        <v>1</v>
      </c>
    </row>
    <row r="20" spans="1:29" ht="128.25">
      <c r="A20" s="532"/>
      <c r="B20" s="871" t="s">
        <v>804</v>
      </c>
      <c r="C20" s="872" t="str">
        <f>IF(B1="工业",估价对象房地状况!G7,估价对象房地状况!C9)</f>
        <v>区域自然环境：火车头广场、北京园博园；人文环境：北京市第一中级人民法院、北京市第四中级人民法院；综合评价环境状况较好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6"/>
      <c r="Q20" s="1559" t="str">
        <f>B20</f>
        <v>自然及人文环境</v>
      </c>
      <c r="R20" s="1560" t="s">
        <v>8</v>
      </c>
      <c r="S20" s="1561">
        <f>F20</f>
        <v>100</v>
      </c>
      <c r="T20" s="1560" t="s">
        <v>8</v>
      </c>
      <c r="U20" s="1561">
        <f>H20</f>
        <v>100</v>
      </c>
      <c r="V20" s="1560" t="s">
        <v>8</v>
      </c>
      <c r="W20" s="1561">
        <f>J20</f>
        <v>100</v>
      </c>
      <c r="X20" s="1554"/>
      <c r="Y20" s="340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6"/>
      <c r="Q21" s="1559"/>
      <c r="R21" s="1560"/>
      <c r="S21" s="1561"/>
      <c r="T21" s="1560"/>
      <c r="U21" s="1561"/>
      <c r="V21" s="1560"/>
      <c r="W21" s="1561"/>
      <c r="X21" s="1554"/>
      <c r="Y21" s="340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6"/>
      <c r="Q22" s="1559" t="str">
        <f>B22</f>
        <v>楼层</v>
      </c>
      <c r="R22" s="1560" t="s">
        <v>8</v>
      </c>
      <c r="S22" s="1561">
        <f>F22</f>
        <v>100</v>
      </c>
      <c r="T22" s="1560" t="s">
        <v>8</v>
      </c>
      <c r="U22" s="1561">
        <f>H22</f>
        <v>100</v>
      </c>
      <c r="V22" s="1560" t="s">
        <v>8</v>
      </c>
      <c r="W22" s="1561">
        <f>J22</f>
        <v>100</v>
      </c>
      <c r="X22" s="1554"/>
      <c r="Y22" s="340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6"/>
      <c r="Q23" s="1559">
        <f>B23</f>
        <v>111</v>
      </c>
      <c r="R23" s="1560" t="s">
        <v>8</v>
      </c>
      <c r="S23" s="1561">
        <f>F23</f>
        <v>100</v>
      </c>
      <c r="T23" s="1560" t="s">
        <v>8</v>
      </c>
      <c r="U23" s="1561">
        <f>H23</f>
        <v>100</v>
      </c>
      <c r="V23" s="1560" t="s">
        <v>8</v>
      </c>
      <c r="W23" s="1561">
        <f>J23</f>
        <v>100</v>
      </c>
      <c r="X23" s="1554"/>
      <c r="Y23" s="340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6"/>
      <c r="Q24" s="1559">
        <f t="shared" ref="Q24:Q34" si="11">B24</f>
        <v>111</v>
      </c>
      <c r="R24" s="1560" t="s">
        <v>8</v>
      </c>
      <c r="S24" s="1561">
        <f>F24</f>
        <v>100</v>
      </c>
      <c r="T24" s="1560" t="s">
        <v>8</v>
      </c>
      <c r="U24" s="1561">
        <f>H24</f>
        <v>100</v>
      </c>
      <c r="V24" s="1560" t="s">
        <v>8</v>
      </c>
      <c r="W24" s="1561">
        <f>J24</f>
        <v>100</v>
      </c>
      <c r="X24" s="1554"/>
      <c r="Y24" s="340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6"/>
      <c r="Q25" s="1147">
        <f t="shared" si="11"/>
        <v>111</v>
      </c>
      <c r="R25" s="1555" t="s">
        <v>8</v>
      </c>
      <c r="S25" s="1556">
        <f>F25</f>
        <v>100</v>
      </c>
      <c r="T25" s="1555" t="s">
        <v>8</v>
      </c>
      <c r="U25" s="1556">
        <f>H25</f>
        <v>100</v>
      </c>
      <c r="V25" s="1555" t="s">
        <v>8</v>
      </c>
      <c r="W25" s="1556">
        <f>J25</f>
        <v>100</v>
      </c>
      <c r="X25" s="1557"/>
      <c r="Y25" s="3406"/>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8"/>
      <c r="Q27" s="1591" t="str">
        <f t="shared" si="11"/>
        <v>成新率</v>
      </c>
      <c r="R27" s="1564" t="s">
        <v>8</v>
      </c>
      <c r="S27" s="1565" t="e">
        <f t="shared" si="12"/>
        <v>#N/A</v>
      </c>
      <c r="T27" s="1564" t="s">
        <v>8</v>
      </c>
      <c r="U27" s="1565" t="e">
        <f t="shared" si="13"/>
        <v>#N/A</v>
      </c>
      <c r="V27" s="1564" t="s">
        <v>8</v>
      </c>
      <c r="W27" s="1565" t="e">
        <f t="shared" si="14"/>
        <v>#N/A</v>
      </c>
      <c r="X27" s="1566"/>
      <c r="Y27" s="340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8"/>
      <c r="Q28" s="1559" t="str">
        <f t="shared" si="11"/>
        <v>物业等级</v>
      </c>
      <c r="R28" s="1560" t="s">
        <v>8</v>
      </c>
      <c r="S28" s="1561">
        <f t="shared" si="12"/>
        <v>100</v>
      </c>
      <c r="T28" s="1560" t="s">
        <v>8</v>
      </c>
      <c r="U28" s="1561">
        <f t="shared" si="13"/>
        <v>100</v>
      </c>
      <c r="V28" s="1560" t="s">
        <v>8</v>
      </c>
      <c r="W28" s="1561">
        <f t="shared" si="14"/>
        <v>100</v>
      </c>
      <c r="X28" s="1554"/>
      <c r="Y28" s="340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8"/>
      <c r="Q29" s="1559" t="str">
        <f t="shared" si="11"/>
        <v>有无电梯</v>
      </c>
      <c r="R29" s="1560" t="s">
        <v>8</v>
      </c>
      <c r="S29" s="1561">
        <f t="shared" si="12"/>
        <v>100</v>
      </c>
      <c r="T29" s="1560" t="s">
        <v>8</v>
      </c>
      <c r="U29" s="1561">
        <f t="shared" si="13"/>
        <v>100</v>
      </c>
      <c r="V29" s="1560" t="s">
        <v>8</v>
      </c>
      <c r="W29" s="1561">
        <f t="shared" si="14"/>
        <v>100</v>
      </c>
      <c r="X29" s="1554"/>
      <c r="Y29" s="340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8"/>
      <c r="Q30" s="1559" t="str">
        <f t="shared" si="11"/>
        <v>建筑面积</v>
      </c>
      <c r="R30" s="1560" t="s">
        <v>8</v>
      </c>
      <c r="S30" s="1561" t="e">
        <f t="shared" si="12"/>
        <v>#N/A</v>
      </c>
      <c r="T30" s="1560" t="s">
        <v>8</v>
      </c>
      <c r="U30" s="1561" t="e">
        <f t="shared" si="13"/>
        <v>#N/A</v>
      </c>
      <c r="V30" s="1560" t="s">
        <v>8</v>
      </c>
      <c r="W30" s="1561" t="e">
        <f t="shared" si="14"/>
        <v>#N/A</v>
      </c>
      <c r="X30" s="1554"/>
      <c r="Y30" s="340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8"/>
      <c r="Q31" s="1147" t="str">
        <f t="shared" si="11"/>
        <v>是否封闭</v>
      </c>
      <c r="R31" s="1555" t="s">
        <v>8</v>
      </c>
      <c r="S31" s="1556">
        <f t="shared" si="12"/>
        <v>100</v>
      </c>
      <c r="T31" s="1555" t="s">
        <v>8</v>
      </c>
      <c r="U31" s="1556">
        <f t="shared" si="13"/>
        <v>100</v>
      </c>
      <c r="V31" s="1555" t="s">
        <v>8</v>
      </c>
      <c r="W31" s="1556">
        <f t="shared" si="14"/>
        <v>100</v>
      </c>
      <c r="X31" s="1557"/>
      <c r="Y31" s="340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8" t="s">
        <v>550</v>
      </c>
      <c r="Q32" s="1559">
        <f t="shared" si="11"/>
        <v>111</v>
      </c>
      <c r="R32" s="1560" t="s">
        <v>8</v>
      </c>
      <c r="S32" s="1561">
        <f t="shared" si="12"/>
        <v>100</v>
      </c>
      <c r="T32" s="1560" t="s">
        <v>8</v>
      </c>
      <c r="U32" s="1561">
        <f t="shared" si="13"/>
        <v>100</v>
      </c>
      <c r="V32" s="1560" t="s">
        <v>8</v>
      </c>
      <c r="W32" s="1561">
        <f t="shared" si="14"/>
        <v>100</v>
      </c>
      <c r="X32" s="1554"/>
      <c r="Y32" s="340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8"/>
      <c r="Q33" s="1559">
        <f t="shared" si="11"/>
        <v>111</v>
      </c>
      <c r="R33" s="1560" t="s">
        <v>8</v>
      </c>
      <c r="S33" s="1561">
        <f t="shared" si="12"/>
        <v>100</v>
      </c>
      <c r="T33" s="1560" t="s">
        <v>8</v>
      </c>
      <c r="U33" s="1561">
        <f t="shared" si="13"/>
        <v>100</v>
      </c>
      <c r="V33" s="1560" t="s">
        <v>8</v>
      </c>
      <c r="W33" s="1561">
        <f t="shared" si="14"/>
        <v>100</v>
      </c>
      <c r="X33" s="1554"/>
      <c r="Y33" s="340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8"/>
      <c r="Q34" s="1559">
        <f t="shared" si="11"/>
        <v>111</v>
      </c>
      <c r="R34" s="1560" t="s">
        <v>8</v>
      </c>
      <c r="S34" s="1561">
        <f t="shared" si="12"/>
        <v>100</v>
      </c>
      <c r="T34" s="1560" t="s">
        <v>8</v>
      </c>
      <c r="U34" s="1561">
        <f t="shared" si="13"/>
        <v>100</v>
      </c>
      <c r="V34" s="1560" t="s">
        <v>8</v>
      </c>
      <c r="W34" s="1561">
        <f t="shared" si="14"/>
        <v>100</v>
      </c>
      <c r="X34" s="1554"/>
      <c r="Y34" s="3408"/>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3" t="str">
        <f>A35</f>
        <v>成交单价（元/平方米）</v>
      </c>
      <c r="Q35" s="3403"/>
      <c r="R35" s="3508">
        <f>E35</f>
        <v>0</v>
      </c>
      <c r="S35" s="3508"/>
      <c r="T35" s="3508">
        <f>G35</f>
        <v>0</v>
      </c>
      <c r="U35" s="3508"/>
      <c r="V35" s="3508">
        <f>I35</f>
        <v>0</v>
      </c>
      <c r="W35" s="3508"/>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03" t="str">
        <f>A36</f>
        <v>比较价格（元/平方米）</v>
      </c>
      <c r="Q36" s="3403"/>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46"/>
      <c r="Y36" s="1546"/>
      <c r="Z36" s="1546"/>
      <c r="AA36" s="1546"/>
      <c r="AB36" s="1546"/>
      <c r="AC36" s="1546"/>
    </row>
    <row r="37" spans="1:29" ht="15.75" thickBot="1">
      <c r="A37" s="621" t="s">
        <v>2933</v>
      </c>
      <c r="B37" s="622"/>
      <c r="C37" s="2601" t="e">
        <f>R37</f>
        <v>#DIV/0!</v>
      </c>
      <c r="D37" s="2601"/>
      <c r="E37" s="2601"/>
      <c r="F37" s="2601"/>
      <c r="G37" s="2601"/>
      <c r="H37" s="2601"/>
      <c r="I37" s="2601"/>
      <c r="J37" s="2601"/>
      <c r="K37" s="1599"/>
      <c r="L37" s="2130"/>
      <c r="M37" s="2131"/>
      <c r="N37" s="2131"/>
      <c r="O37" s="2131"/>
      <c r="P37" s="3425" t="str">
        <f>A37</f>
        <v>估价对象XX用房的比较价格（楼面单价，元/平方米）</v>
      </c>
      <c r="Q37" s="3426"/>
      <c r="R37" s="3507" t="e">
        <f>IF(F1="售价",ROUND(AVERAGE(R36:V36),0),ROUND(AVERAGE(R36:V36),1))</f>
        <v>#DIV/0!</v>
      </c>
      <c r="S37" s="3507"/>
      <c r="T37" s="3507"/>
      <c r="U37" s="3507"/>
      <c r="V37" s="3507"/>
      <c r="W37" s="350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2019-4</v>
      </c>
      <c r="D46" s="2760">
        <f>EDATE(C46,-1)</f>
        <v>43525</v>
      </c>
      <c r="E46" s="2760">
        <f t="shared" ref="E46:O46" si="16">EDATE(D46,-1)</f>
        <v>43497</v>
      </c>
      <c r="F46" s="2760">
        <f t="shared" si="16"/>
        <v>43466</v>
      </c>
      <c r="G46" s="2760">
        <f t="shared" si="16"/>
        <v>43435</v>
      </c>
      <c r="H46" s="2760">
        <f t="shared" si="16"/>
        <v>43405</v>
      </c>
      <c r="I46" s="2760">
        <f t="shared" si="16"/>
        <v>43374</v>
      </c>
      <c r="J46" s="2760">
        <f t="shared" si="16"/>
        <v>43344</v>
      </c>
      <c r="K46" s="2760">
        <f t="shared" si="16"/>
        <v>43313</v>
      </c>
      <c r="L46" s="2760">
        <f t="shared" si="16"/>
        <v>43282</v>
      </c>
      <c r="M46" s="2760">
        <f t="shared" si="16"/>
        <v>43252</v>
      </c>
      <c r="N46" s="2760">
        <f t="shared" si="16"/>
        <v>43221</v>
      </c>
      <c r="O46" s="2760">
        <f t="shared" si="16"/>
        <v>43191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9" priority="14" stopIfTrue="1" operator="containsText" text="超过">
      <formula>NOT(ISERROR(SEARCH("超过",F40)))</formula>
    </cfRule>
  </conditionalFormatting>
  <conditionalFormatting sqref="J42">
    <cfRule type="containsText" dxfId="28" priority="13" stopIfTrue="1" operator="containsText" text="超过">
      <formula>NOT(ISERROR(SEARCH("超过",J42)))</formula>
    </cfRule>
  </conditionalFormatting>
  <conditionalFormatting sqref="H42">
    <cfRule type="containsText" dxfId="27" priority="12" stopIfTrue="1" operator="containsText" text="超过">
      <formula>NOT(ISERROR(SEARCH("超过",H42)))</formula>
    </cfRule>
  </conditionalFormatting>
  <conditionalFormatting sqref="F42">
    <cfRule type="containsText" dxfId="26" priority="11" stopIfTrue="1" operator="containsText" text="超过">
      <formula>NOT(ISERROR(SEARCH("超过",F42)))</formula>
    </cfRule>
  </conditionalFormatting>
  <conditionalFormatting sqref="F41 H41 J41">
    <cfRule type="containsText" dxfId="25" priority="10" stopIfTrue="1" operator="containsText" text="超过">
      <formula>NOT(ISERROR(SEARCH("超过",F41)))</formula>
    </cfRule>
  </conditionalFormatting>
  <conditionalFormatting sqref="E40">
    <cfRule type="expression" dxfId="24" priority="9" stopIfTrue="1">
      <formula>$F$40="超过30%"</formula>
    </cfRule>
  </conditionalFormatting>
  <conditionalFormatting sqref="G42">
    <cfRule type="expression" dxfId="23" priority="8" stopIfTrue="1">
      <formula>$H$54+$H$42="超过30%"</formula>
    </cfRule>
  </conditionalFormatting>
  <conditionalFormatting sqref="E41">
    <cfRule type="expression" dxfId="22" priority="7" stopIfTrue="1">
      <formula>$F$41="超过20%"</formula>
    </cfRule>
  </conditionalFormatting>
  <conditionalFormatting sqref="E42">
    <cfRule type="expression" dxfId="21" priority="6" stopIfTrue="1">
      <formula>$F$42="超过30%"</formula>
    </cfRule>
  </conditionalFormatting>
  <conditionalFormatting sqref="G40">
    <cfRule type="expression" dxfId="20" priority="5" stopIfTrue="1">
      <formula>$H$52+$H$40="超过30%"</formula>
    </cfRule>
  </conditionalFormatting>
  <conditionalFormatting sqref="G41">
    <cfRule type="expression" dxfId="19" priority="4" stopIfTrue="1">
      <formula>$H$53+$H$41="超过20%"</formula>
    </cfRule>
  </conditionalFormatting>
  <conditionalFormatting sqref="I40">
    <cfRule type="expression" dxfId="18" priority="3" stopIfTrue="1">
      <formula>$J$40="超过30%"</formula>
    </cfRule>
  </conditionalFormatting>
  <conditionalFormatting sqref="I41">
    <cfRule type="expression" dxfId="17" priority="2" stopIfTrue="1">
      <formula>$J$41="超过20%"</formula>
    </cfRule>
  </conditionalFormatting>
  <conditionalFormatting sqref="I42">
    <cfRule type="expression" dxfId="16"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activeCell="C108" sqref="C108:G113"/>
      <selection pane="bottomLeft" activeCell="L39" sqref="L39"/>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13" t="s">
        <v>2304</v>
      </c>
      <c r="D1" s="3514"/>
      <c r="E1" s="3514"/>
      <c r="F1" s="3514"/>
      <c r="G1" s="3514"/>
      <c r="H1" s="3514"/>
      <c r="I1" s="3514"/>
      <c r="J1" s="3514"/>
      <c r="K1" s="3514"/>
      <c r="L1" s="3514"/>
      <c r="M1" s="3514"/>
      <c r="N1" s="3514"/>
      <c r="O1" s="3514"/>
      <c r="P1" s="3514"/>
      <c r="Q1" s="3514"/>
      <c r="R1" s="3514"/>
      <c r="S1" s="3515"/>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2926</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2925</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2924</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2937</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2923</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2922</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10" t="s">
        <v>20</v>
      </c>
      <c r="D22" s="3511"/>
      <c r="E22" s="3511"/>
      <c r="F22" s="3511"/>
      <c r="G22" s="3511"/>
      <c r="H22" s="3511"/>
      <c r="I22" s="3511"/>
      <c r="J22" s="3511"/>
      <c r="K22" s="3511"/>
      <c r="L22" s="3511"/>
      <c r="M22" s="3511"/>
      <c r="N22" s="3511"/>
      <c r="O22" s="3511"/>
      <c r="P22" s="3511"/>
      <c r="Q22" s="3512"/>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受贵公司委托，我公司对北京市丰台区吴家村首钢二通产业园区1615-615地块文化创意产业大厦项目出让国有建设用地使用权市场价格进行了预评估。</v>
      </c>
    </row>
    <row r="5" spans="1:4" ht="18.75">
      <c r="A5" s="1780" t="s">
        <v>1905</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丰台区吴家村首钢二通产业园区1615-615地块文化创意产业大厦项目出让国有建设用地使用权。根据《国有土地使用证》[]，估价对象（分摊）出让国有建设用地使用权面积为12883平方米。根据《建设工程规划许可证》[]、《出让合同》[]，估价对象规划建筑面积为53161平方米。</v>
      </c>
    </row>
    <row r="7" spans="1:4" ht="93.75">
      <c r="A7" s="2829" t="s">
        <v>2748</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2026</v>
      </c>
    </row>
    <row r="11" spans="1:4" ht="18.75">
      <c r="A11" s="1766" t="str">
        <f>TEXT(项目基本情况!D3,"yyyy年m月d日;;")&amp;IF(项目基本情况!B3=项目基本情况!D3,"（评估专业人员勘察现场之日）","")</f>
        <v>2019年4月15日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根据《国有土地使用证》[]，估价对象（分摊）出让国有建设用地使用权面积为12883平方米。根据《建设工程规划许可证》[]、《出让合同》[]，估价对象规划建筑面积为53161平方米。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4月15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43570</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A1"/>
  <sheetViews>
    <sheetView topLeftCell="A37" workbookViewId="0">
      <selection activeCell="N103" sqref="N103"/>
    </sheetView>
  </sheetViews>
  <sheetFormatPr defaultRowHeight="13.5"/>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opLeftCell="A6" zoomScale="80" zoomScaleNormal="80" workbookViewId="0">
      <selection activeCell="F105" sqref="F105"/>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f>ROUND(B3*D3/10000,0)</f>
        <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f>C50</f>
        <v>5.6</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9" t="s">
        <v>522</v>
      </c>
      <c r="D4" s="3410"/>
      <c r="E4" s="3434" t="s">
        <v>523</v>
      </c>
      <c r="F4" s="3435"/>
      <c r="G4" s="3409" t="s">
        <v>524</v>
      </c>
      <c r="H4" s="3410"/>
      <c r="I4" s="3409" t="s">
        <v>525</v>
      </c>
      <c r="J4" s="3410"/>
      <c r="K4" s="514" t="s">
        <v>526</v>
      </c>
      <c r="L4" s="2119"/>
      <c r="M4" s="2120"/>
      <c r="N4" s="2120"/>
      <c r="O4" s="2120"/>
      <c r="P4" s="3519" t="s">
        <v>527</v>
      </c>
      <c r="Q4" s="3412"/>
      <c r="R4" s="3397" t="s">
        <v>523</v>
      </c>
      <c r="S4" s="3398"/>
      <c r="T4" s="3397" t="s">
        <v>524</v>
      </c>
      <c r="U4" s="3398"/>
      <c r="V4" s="3417" t="s">
        <v>525</v>
      </c>
      <c r="W4" s="3417"/>
      <c r="X4" s="1554"/>
      <c r="Y4" s="3397" t="s">
        <v>527</v>
      </c>
      <c r="Z4" s="3398"/>
      <c r="AA4" s="3392" t="s">
        <v>523</v>
      </c>
      <c r="AB4" s="3392" t="s">
        <v>524</v>
      </c>
      <c r="AC4" s="3392" t="s">
        <v>525</v>
      </c>
    </row>
    <row r="5" spans="1:29" ht="15">
      <c r="A5" s="515"/>
      <c r="B5" s="516"/>
      <c r="C5" s="3517" t="s">
        <v>3014</v>
      </c>
      <c r="D5" s="3421"/>
      <c r="E5" s="3516" t="s">
        <v>3107</v>
      </c>
      <c r="F5" s="3437"/>
      <c r="G5" s="3517" t="s">
        <v>3106</v>
      </c>
      <c r="H5" s="3421"/>
      <c r="I5" s="3517" t="s">
        <v>3015</v>
      </c>
      <c r="J5" s="3421"/>
      <c r="K5" s="514"/>
      <c r="L5" s="2119"/>
      <c r="M5" s="2120"/>
      <c r="N5" s="2120"/>
      <c r="O5" s="2120"/>
      <c r="P5" s="3520"/>
      <c r="Q5" s="3414"/>
      <c r="R5" s="3399"/>
      <c r="S5" s="3400"/>
      <c r="T5" s="3399"/>
      <c r="U5" s="3400"/>
      <c r="V5" s="3417"/>
      <c r="W5" s="3417"/>
      <c r="X5" s="1554"/>
      <c r="Y5" s="3399"/>
      <c r="Z5" s="3400"/>
      <c r="AA5" s="3393"/>
      <c r="AB5" s="3393"/>
      <c r="AC5" s="3393"/>
    </row>
    <row r="6" spans="1:29" ht="15.75" thickBot="1">
      <c r="A6" s="517"/>
      <c r="B6" s="518"/>
      <c r="C6" s="3518" t="str">
        <f>项目基本情况!F10</f>
        <v>丰台区吴家村首钢二通产业园区1615-615地块文化创意产业大厦项目</v>
      </c>
      <c r="D6" s="3419"/>
      <c r="E6" s="3438" t="s">
        <v>2931</v>
      </c>
      <c r="F6" s="3439"/>
      <c r="G6" s="3418" t="s">
        <v>2931</v>
      </c>
      <c r="H6" s="3419"/>
      <c r="I6" s="3418" t="s">
        <v>2931</v>
      </c>
      <c r="J6" s="3419"/>
      <c r="K6" s="514" t="s">
        <v>528</v>
      </c>
      <c r="L6" s="2119"/>
      <c r="M6" s="2120"/>
      <c r="N6" s="2120"/>
      <c r="O6" s="2120"/>
      <c r="P6" s="3521"/>
      <c r="Q6" s="3416"/>
      <c r="R6" s="3399"/>
      <c r="S6" s="3400"/>
      <c r="T6" s="3401"/>
      <c r="U6" s="3402"/>
      <c r="V6" s="3417"/>
      <c r="W6" s="3417"/>
      <c r="X6" s="1554"/>
      <c r="Y6" s="3401"/>
      <c r="Z6" s="3402"/>
      <c r="AA6" s="3394"/>
      <c r="AB6" s="3394"/>
      <c r="AC6" s="3394"/>
    </row>
    <row r="7" spans="1:29" s="1216" customFormat="1" ht="15.75" thickBot="1">
      <c r="A7" s="2868"/>
      <c r="B7" s="2875" t="s">
        <v>529</v>
      </c>
      <c r="C7" s="519">
        <f>'数据-取费表'!B2</f>
        <v>43570</v>
      </c>
      <c r="D7" s="520">
        <v>100</v>
      </c>
      <c r="E7" s="521">
        <v>43556</v>
      </c>
      <c r="F7" s="522">
        <f>SUMIF(59:59,YEAR(E7)&amp;"-"&amp;MONTH(E7),60:60)</f>
        <v>100</v>
      </c>
      <c r="G7" s="521">
        <v>43556</v>
      </c>
      <c r="H7" s="520">
        <f>SUMIF(59:59,YEAR(G7)&amp;"-"&amp;MONTH(G7),60:60)</f>
        <v>100</v>
      </c>
      <c r="I7" s="521">
        <v>43556</v>
      </c>
      <c r="J7" s="520">
        <f>SUMIF(59:59,YEAR(I7)&amp;"-"&amp;MONTH(I7),60:60)</f>
        <v>100</v>
      </c>
      <c r="K7" s="524"/>
      <c r="L7" s="2121"/>
      <c r="M7" s="2122"/>
      <c r="N7" s="2122"/>
      <c r="O7" s="2122"/>
      <c r="P7" s="3404" t="s">
        <v>530</v>
      </c>
      <c r="Q7" s="3404"/>
      <c r="R7" s="1555" t="s">
        <v>8</v>
      </c>
      <c r="S7" s="1556">
        <f t="shared" ref="S7:S15" si="0">F7</f>
        <v>100</v>
      </c>
      <c r="T7" s="1555" t="s">
        <v>8</v>
      </c>
      <c r="U7" s="1556">
        <f t="shared" ref="U7:U15" si="1">H7</f>
        <v>100</v>
      </c>
      <c r="V7" s="1555" t="s">
        <v>8</v>
      </c>
      <c r="W7" s="1556">
        <f t="shared" ref="W7:W15" si="2">J7</f>
        <v>100</v>
      </c>
      <c r="X7" s="1557"/>
      <c r="Y7" s="3395" t="s">
        <v>530</v>
      </c>
      <c r="Z7" s="3396"/>
      <c r="AA7" s="1558">
        <f>D7/F7</f>
        <v>1</v>
      </c>
      <c r="AB7" s="1558">
        <f>D7/H7</f>
        <v>1</v>
      </c>
      <c r="AC7" s="1558">
        <f>D7/J7</f>
        <v>1</v>
      </c>
    </row>
    <row r="8" spans="1:29" s="1216" customFormat="1" ht="15.75" thickBot="1">
      <c r="A8" s="2869"/>
      <c r="B8" s="2876" t="s">
        <v>531</v>
      </c>
      <c r="C8" s="525" t="s">
        <v>576</v>
      </c>
      <c r="D8" s="520">
        <v>100</v>
      </c>
      <c r="E8" s="525" t="s">
        <v>3016</v>
      </c>
      <c r="F8" s="522">
        <f>SUMIF(62:62,E8,63:63)-SUMIF(62:62,C8,63:63)+100</f>
        <v>100</v>
      </c>
      <c r="G8" s="525" t="s">
        <v>3016</v>
      </c>
      <c r="H8" s="520">
        <f>SUMIF(62:62,G8,63:63)-SUMIF(62:62,C8,63:63)+100</f>
        <v>100</v>
      </c>
      <c r="I8" s="525" t="s">
        <v>3016</v>
      </c>
      <c r="J8" s="520">
        <f>SUMIF(62:62,I8,63:63)-SUMIF(62:62,C8,63:63)+100</f>
        <v>100</v>
      </c>
      <c r="K8" s="524"/>
      <c r="L8" s="2121"/>
      <c r="M8" s="2122"/>
      <c r="N8" s="2122"/>
      <c r="O8" s="2122"/>
      <c r="P8" s="3404" t="s">
        <v>533</v>
      </c>
      <c r="Q8" s="3396"/>
      <c r="R8" s="1555" t="s">
        <v>8</v>
      </c>
      <c r="S8" s="1556">
        <f t="shared" si="0"/>
        <v>100</v>
      </c>
      <c r="T8" s="1555" t="s">
        <v>8</v>
      </c>
      <c r="U8" s="1556">
        <f t="shared" si="1"/>
        <v>100</v>
      </c>
      <c r="V8" s="1555" t="s">
        <v>8</v>
      </c>
      <c r="W8" s="1556">
        <f t="shared" si="2"/>
        <v>100</v>
      </c>
      <c r="X8" s="1557"/>
      <c r="Y8" s="3395" t="s">
        <v>533</v>
      </c>
      <c r="Z8" s="3396"/>
      <c r="AA8" s="1558">
        <f t="shared" ref="AA8:AA47" si="3">D8/F8</f>
        <v>1</v>
      </c>
      <c r="AB8" s="1558">
        <f t="shared" ref="AB8:AB47" si="4">D8/H8</f>
        <v>1</v>
      </c>
      <c r="AC8" s="1558">
        <f t="shared" ref="AC8:AC47" si="5">D8/J8</f>
        <v>1</v>
      </c>
    </row>
    <row r="9" spans="1:29" s="1216" customFormat="1" ht="15">
      <c r="A9" s="2870"/>
      <c r="B9" s="2877" t="s">
        <v>2756</v>
      </c>
      <c r="C9" s="3188" t="s">
        <v>3017</v>
      </c>
      <c r="D9" s="254">
        <v>100</v>
      </c>
      <c r="E9" s="860" t="s">
        <v>1677</v>
      </c>
      <c r="F9" s="254">
        <f>SUMIF(64:64,E9,65:65)-SUMIF(64:64,C9,65:65)+100</f>
        <v>100</v>
      </c>
      <c r="G9" s="858" t="s">
        <v>1677</v>
      </c>
      <c r="H9" s="254">
        <f>SUMIF(64:64,G9,65:65)-SUMIF(64:64,C9,65:65)+100</f>
        <v>100</v>
      </c>
      <c r="I9" s="858" t="s">
        <v>1677</v>
      </c>
      <c r="J9" s="254">
        <f>SUMIF(64:64,I9,65:65)-SUMIF(64:64,C9,65:65)+100</f>
        <v>100</v>
      </c>
      <c r="K9" s="524"/>
      <c r="L9" s="2121"/>
      <c r="M9" s="2122"/>
      <c r="N9" s="2122"/>
      <c r="O9" s="2122"/>
      <c r="P9" s="3403"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2757</v>
      </c>
      <c r="C10" s="861" t="s">
        <v>3018</v>
      </c>
      <c r="D10" s="255">
        <v>100</v>
      </c>
      <c r="E10" s="861" t="s">
        <v>3018</v>
      </c>
      <c r="F10" s="255">
        <f>SUMIF(66:66,E10,67:67)-SUMIF(66:66,C10,67:67)+100</f>
        <v>100</v>
      </c>
      <c r="G10" s="862" t="s">
        <v>3018</v>
      </c>
      <c r="H10" s="255">
        <f>SUMIF(66:66,G10,67:67)-SUMIF(66:66,C10,67:67)+100</f>
        <v>100</v>
      </c>
      <c r="I10" s="861" t="s">
        <v>3018</v>
      </c>
      <c r="J10" s="255">
        <f>SUMIF(66:66,I10,67:67)-SUMIF(66:66,C10,67:67)+100</f>
        <v>100</v>
      </c>
      <c r="K10" s="584"/>
      <c r="L10" s="2124"/>
      <c r="M10" s="2164"/>
      <c r="N10" s="2164"/>
      <c r="O10" s="2164"/>
      <c r="P10" s="3403"/>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75" thickBot="1">
      <c r="A11" s="2872"/>
      <c r="B11" s="2876" t="s">
        <v>2758</v>
      </c>
      <c r="C11" s="533">
        <f>基准地价!G3</f>
        <v>3.5</v>
      </c>
      <c r="D11" s="255">
        <v>100</v>
      </c>
      <c r="E11" s="533">
        <v>3</v>
      </c>
      <c r="F11" s="255">
        <f>LOOKUP(E11,69:69,70:70)-LOOKUP(C11,69:69,70:70)+100</f>
        <v>100</v>
      </c>
      <c r="G11" s="534">
        <v>3</v>
      </c>
      <c r="H11" s="255">
        <f>LOOKUP(G11,69:69,70:70)-LOOKUP(C11,69:69,70:70)+100</f>
        <v>100</v>
      </c>
      <c r="I11" s="533">
        <v>7.3</v>
      </c>
      <c r="J11" s="255">
        <f>LOOKUP(I11,69:69,70:70)-LOOKUP(C11,69:69,70:70)+100</f>
        <v>100</v>
      </c>
      <c r="K11" s="584">
        <v>0</v>
      </c>
      <c r="L11" s="2126"/>
      <c r="M11" s="2120"/>
      <c r="N11" s="2120"/>
      <c r="O11" s="2120"/>
      <c r="P11" s="3403"/>
      <c r="Q11" s="1147" t="str">
        <f t="shared" si="6"/>
        <v>容积率</v>
      </c>
      <c r="R11" s="1555" t="s">
        <v>8</v>
      </c>
      <c r="S11" s="1556">
        <f t="shared" si="0"/>
        <v>100</v>
      </c>
      <c r="T11" s="1555" t="s">
        <v>8</v>
      </c>
      <c r="U11" s="1556">
        <f t="shared" si="1"/>
        <v>100</v>
      </c>
      <c r="V11" s="1555" t="s">
        <v>8</v>
      </c>
      <c r="W11" s="1556">
        <f t="shared" si="2"/>
        <v>100</v>
      </c>
      <c r="X11" s="1557"/>
      <c r="Y11" s="3347"/>
      <c r="Z11" s="1146" t="str">
        <f t="shared" si="7"/>
        <v>容积率</v>
      </c>
      <c r="AA11" s="1558">
        <f t="shared" si="3"/>
        <v>1</v>
      </c>
      <c r="AB11" s="1558">
        <f t="shared" si="4"/>
        <v>1</v>
      </c>
      <c r="AC11" s="1558">
        <f t="shared" si="5"/>
        <v>1</v>
      </c>
    </row>
    <row r="12" spans="1:29" s="1216" customFormat="1" ht="15" hidden="1">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3"/>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 hidden="1">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3"/>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15.75" hidden="1"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3"/>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 t="shared" si="3"/>
        <v>1</v>
      </c>
      <c r="AB14" s="1558">
        <f t="shared" si="4"/>
        <v>1</v>
      </c>
      <c r="AC14" s="1558">
        <f t="shared" si="5"/>
        <v>1</v>
      </c>
    </row>
    <row r="15" spans="1:29" ht="137.25" customHeight="1">
      <c r="A15" s="2866" t="s">
        <v>2754</v>
      </c>
      <c r="B15" s="547" t="s">
        <v>542</v>
      </c>
      <c r="C15" s="548" t="str">
        <f>估价对象房地状况!C5</f>
        <v>估价对象周边有大成时代中心、万达广场写字楼、泰禾长安中心、紫御国际等，办公楼项目较多，入驻率高，办公集聚程度较好</v>
      </c>
      <c r="D15" s="549">
        <v>100</v>
      </c>
      <c r="E15" s="3190" t="s">
        <v>3091</v>
      </c>
      <c r="F15" s="549">
        <f>SUMIF(77:77,E16,78:78)-SUMIF(77:77,C16,78:78)+100</f>
        <v>100</v>
      </c>
      <c r="G15" s="3196" t="s">
        <v>3108</v>
      </c>
      <c r="H15" s="549">
        <f>SUMIF(77:77,G16,78:78)-SUMIF(77:77,C16,78:78)+100</f>
        <v>100</v>
      </c>
      <c r="I15" s="3196" t="s">
        <v>3039</v>
      </c>
      <c r="J15" s="549">
        <f>SUMIF(77:77,I16,78:78)-SUMIF(77:77,C16,78:78)+100</f>
        <v>100</v>
      </c>
      <c r="K15" s="898"/>
      <c r="L15" s="2128"/>
      <c r="M15" s="2120"/>
      <c r="N15" s="2120"/>
      <c r="O15" s="2120"/>
      <c r="P15" s="3405" t="s">
        <v>540</v>
      </c>
      <c r="Q15" s="1559" t="str">
        <f t="shared" si="6"/>
        <v>办公集聚程度</v>
      </c>
      <c r="R15" s="1560" t="s">
        <v>8</v>
      </c>
      <c r="S15" s="1561">
        <f t="shared" si="0"/>
        <v>100</v>
      </c>
      <c r="T15" s="1560" t="s">
        <v>8</v>
      </c>
      <c r="U15" s="1561">
        <f t="shared" si="1"/>
        <v>100</v>
      </c>
      <c r="V15" s="1560" t="s">
        <v>8</v>
      </c>
      <c r="W15" s="1561">
        <f t="shared" si="2"/>
        <v>100</v>
      </c>
      <c r="X15" s="1554"/>
      <c r="Y15" s="3405" t="s">
        <v>540</v>
      </c>
      <c r="Z15" s="1562" t="str">
        <f t="shared" si="7"/>
        <v>办公集聚程度</v>
      </c>
      <c r="AA15" s="1563">
        <f t="shared" si="3"/>
        <v>1</v>
      </c>
      <c r="AB15" s="1563">
        <f t="shared" si="4"/>
        <v>1</v>
      </c>
      <c r="AC15" s="1563">
        <f t="shared" si="5"/>
        <v>1</v>
      </c>
    </row>
    <row r="16" spans="1:29" ht="15">
      <c r="A16" s="532"/>
      <c r="B16" s="553"/>
      <c r="C16" s="554" t="s">
        <v>3008</v>
      </c>
      <c r="D16" s="555"/>
      <c r="E16" s="576" t="s">
        <v>3008</v>
      </c>
      <c r="F16" s="555"/>
      <c r="G16" s="554" t="s">
        <v>3008</v>
      </c>
      <c r="H16" s="559"/>
      <c r="I16" s="576" t="s">
        <v>3008</v>
      </c>
      <c r="J16" s="555"/>
      <c r="K16" s="899"/>
      <c r="L16" s="2128"/>
      <c r="M16" s="2120"/>
      <c r="N16" s="2120"/>
      <c r="O16" s="2120"/>
      <c r="P16" s="3406"/>
      <c r="Q16" s="1559"/>
      <c r="R16" s="1560"/>
      <c r="S16" s="1561"/>
      <c r="T16" s="1560"/>
      <c r="U16" s="1561"/>
      <c r="V16" s="1560"/>
      <c r="W16" s="1561"/>
      <c r="X16" s="1554"/>
      <c r="Y16" s="3406"/>
      <c r="Z16" s="1562"/>
      <c r="AA16" s="1563">
        <v>1</v>
      </c>
      <c r="AB16" s="1563">
        <v>1</v>
      </c>
      <c r="AC16" s="1563">
        <v>1</v>
      </c>
    </row>
    <row r="17" spans="1:29" ht="176.25" customHeight="1">
      <c r="A17" s="532"/>
      <c r="B17" s="560" t="s">
        <v>296</v>
      </c>
      <c r="C17" s="573" t="str">
        <f>估价对象房地状况!C6</f>
        <v>估价对象周边有运通113路、运通114路、436路、481路、531路、611路、959路等多条公共交通线路，距地铁1号线（八宝山站）约2公里，综合评价交通便捷度一般</v>
      </c>
      <c r="D17" s="559">
        <v>100</v>
      </c>
      <c r="E17" s="564" t="s">
        <v>3095</v>
      </c>
      <c r="F17" s="559">
        <f>SUMIF(79:79,E18,80:80)-SUMIF(79:79,C18,80:80)+100</f>
        <v>101</v>
      </c>
      <c r="G17" s="562" t="str">
        <f>E17</f>
        <v>估价对象周边有740路、快速直达专线110路、快速直达专线22路、快速直达专线95路、特9路、运通115路等多条公交线路，距地铁9号线（丰台科技园站）不足1公里，综合评价交通便捷度较好</v>
      </c>
      <c r="H17" s="565">
        <f>SUMIF(79:79,G18,80:80)-SUMIF(79:79,C18,80:80)+100</f>
        <v>101</v>
      </c>
      <c r="I17" s="562" t="s">
        <v>3096</v>
      </c>
      <c r="J17" s="565">
        <f>SUMIF(79:79,I18,80:80)-SUMIF(79:79,C18,80:80)+100</f>
        <v>101</v>
      </c>
      <c r="K17" s="898">
        <v>1</v>
      </c>
      <c r="L17" s="2128"/>
      <c r="M17" s="2120"/>
      <c r="N17" s="2120"/>
      <c r="O17" s="2120"/>
      <c r="P17" s="3406"/>
      <c r="Q17" s="1559" t="str">
        <f>B17</f>
        <v>交通便捷度</v>
      </c>
      <c r="R17" s="1560" t="s">
        <v>8</v>
      </c>
      <c r="S17" s="1561">
        <f>F17</f>
        <v>101</v>
      </c>
      <c r="T17" s="1560" t="s">
        <v>8</v>
      </c>
      <c r="U17" s="1561">
        <f>H17</f>
        <v>101</v>
      </c>
      <c r="V17" s="1560" t="s">
        <v>8</v>
      </c>
      <c r="W17" s="1561">
        <f>J17</f>
        <v>101</v>
      </c>
      <c r="X17" s="1554"/>
      <c r="Y17" s="3406"/>
      <c r="Z17" s="1562" t="str">
        <f>Q17</f>
        <v>交通便捷度</v>
      </c>
      <c r="AA17" s="1563">
        <f t="shared" si="3"/>
        <v>0.99009900990099009</v>
      </c>
      <c r="AB17" s="1563">
        <f t="shared" si="4"/>
        <v>0.99009900990099009</v>
      </c>
      <c r="AC17" s="1563">
        <f t="shared" si="5"/>
        <v>0.99009900990099009</v>
      </c>
    </row>
    <row r="18" spans="1:29" ht="15">
      <c r="A18" s="532"/>
      <c r="B18" s="566"/>
      <c r="C18" s="567" t="s">
        <v>3009</v>
      </c>
      <c r="D18" s="559"/>
      <c r="E18" s="569" t="s">
        <v>3008</v>
      </c>
      <c r="F18" s="559"/>
      <c r="G18" s="568" t="s">
        <v>3008</v>
      </c>
      <c r="H18" s="555"/>
      <c r="I18" s="568" t="s">
        <v>3008</v>
      </c>
      <c r="J18" s="555"/>
      <c r="K18" s="899"/>
      <c r="L18" s="2128"/>
      <c r="M18" s="2120"/>
      <c r="N18" s="2120"/>
      <c r="O18" s="2120"/>
      <c r="P18" s="3406"/>
      <c r="Q18" s="1559"/>
      <c r="R18" s="1560"/>
      <c r="S18" s="1561"/>
      <c r="T18" s="1560"/>
      <c r="U18" s="1561"/>
      <c r="V18" s="1560"/>
      <c r="W18" s="1561"/>
      <c r="X18" s="1554"/>
      <c r="Y18" s="3406"/>
      <c r="Z18" s="1562"/>
      <c r="AA18" s="1563">
        <v>1</v>
      </c>
      <c r="AB18" s="1563">
        <v>1</v>
      </c>
      <c r="AC18" s="1563">
        <v>1</v>
      </c>
    </row>
    <row r="19" spans="1:29" ht="55.5" customHeight="1">
      <c r="A19" s="532"/>
      <c r="B19" s="2568" t="s">
        <v>2546</v>
      </c>
      <c r="C19" s="573" t="str">
        <f>估价对象房地状况!C7</f>
        <v>估价对象所在区域公共配套设施齐备情况较齐备</v>
      </c>
      <c r="D19" s="565">
        <v>100</v>
      </c>
      <c r="E19" s="3194" t="str">
        <f>C19</f>
        <v>估价对象所在区域公共配套设施齐备情况较齐备</v>
      </c>
      <c r="F19" s="565">
        <f>SUMIF(81:81,E20,82:82)-SUMIF(81:81,C20,82:82)+100</f>
        <v>100</v>
      </c>
      <c r="G19" s="591" t="str">
        <f>C19</f>
        <v>估价对象所在区域公共配套设施齐备情况较齐备</v>
      </c>
      <c r="H19" s="559">
        <f>SUMIF(81:81,G20,82:82)-SUMIF(81:81,C20,82:82)+100</f>
        <v>100</v>
      </c>
      <c r="I19" s="591" t="str">
        <f>C19</f>
        <v>估价对象所在区域公共配套设施齐备情况较齐备</v>
      </c>
      <c r="J19" s="559">
        <f>SUMIF(81:81,I20,82:82)-SUMIF(81:81,C20,82:82)+100</f>
        <v>100</v>
      </c>
      <c r="K19" s="898"/>
      <c r="L19" s="2128"/>
      <c r="M19" s="2120"/>
      <c r="N19" s="2120"/>
      <c r="O19" s="2120"/>
      <c r="P19" s="3406"/>
      <c r="Q19" s="1559" t="str">
        <f>B19</f>
        <v>公共配套设施</v>
      </c>
      <c r="R19" s="1560" t="s">
        <v>8</v>
      </c>
      <c r="S19" s="1561">
        <f>F19</f>
        <v>100</v>
      </c>
      <c r="T19" s="1560" t="s">
        <v>8</v>
      </c>
      <c r="U19" s="1561">
        <f>H19</f>
        <v>100</v>
      </c>
      <c r="V19" s="1560" t="s">
        <v>8</v>
      </c>
      <c r="W19" s="1561">
        <f>J19</f>
        <v>100</v>
      </c>
      <c r="X19" s="1554"/>
      <c r="Y19" s="3406"/>
      <c r="Z19" s="1562" t="str">
        <f>Q19</f>
        <v>公共配套设施</v>
      </c>
      <c r="AA19" s="1563">
        <f t="shared" si="3"/>
        <v>1</v>
      </c>
      <c r="AB19" s="1563">
        <f t="shared" si="4"/>
        <v>1</v>
      </c>
      <c r="AC19" s="1563">
        <f t="shared" si="5"/>
        <v>1</v>
      </c>
    </row>
    <row r="20" spans="1:29" ht="15">
      <c r="A20" s="532"/>
      <c r="B20" s="566"/>
      <c r="C20" s="554" t="s">
        <v>3008</v>
      </c>
      <c r="D20" s="555"/>
      <c r="E20" s="558" t="s">
        <v>3008</v>
      </c>
      <c r="F20" s="555"/>
      <c r="G20" s="556" t="s">
        <v>3008</v>
      </c>
      <c r="H20" s="555"/>
      <c r="I20" s="556" t="s">
        <v>3008</v>
      </c>
      <c r="J20" s="555"/>
      <c r="K20" s="899"/>
      <c r="L20" s="2128"/>
      <c r="M20" s="2120"/>
      <c r="N20" s="2120"/>
      <c r="O20" s="2120"/>
      <c r="P20" s="3406"/>
      <c r="Q20" s="1559"/>
      <c r="R20" s="1560"/>
      <c r="S20" s="1561"/>
      <c r="T20" s="1560"/>
      <c r="U20" s="1561"/>
      <c r="V20" s="1560"/>
      <c r="W20" s="1561"/>
      <c r="X20" s="1554"/>
      <c r="Y20" s="3406"/>
      <c r="Z20" s="1562"/>
      <c r="AA20" s="1563">
        <v>1</v>
      </c>
      <c r="AB20" s="1563">
        <v>1</v>
      </c>
      <c r="AC20" s="1563">
        <v>1</v>
      </c>
    </row>
    <row r="21" spans="1:29" ht="40.5" customHeight="1">
      <c r="A21" s="532"/>
      <c r="B21" s="2556" t="s">
        <v>2558</v>
      </c>
      <c r="C21" s="573" t="str">
        <f>估价对象房地状况!C8</f>
        <v>七通</v>
      </c>
      <c r="D21" s="565">
        <v>100</v>
      </c>
      <c r="E21" s="3194"/>
      <c r="F21" s="565">
        <f>SUMIF(83:83,E22,84:84)-SUMIF(83:83,C22,84:84)+100</f>
        <v>100</v>
      </c>
      <c r="G21" s="591"/>
      <c r="H21" s="565">
        <f>SUMIF(83:83,G22,84:84)-SUMIF(83:83,C22,84:84)+100</f>
        <v>100</v>
      </c>
      <c r="I21" s="591"/>
      <c r="J21" s="565">
        <f>SUMIF(83:83,I22,84:84)-SUMIF(83:83,C22,84:84)+100</f>
        <v>100</v>
      </c>
      <c r="K21" s="898"/>
      <c r="L21" s="2128"/>
      <c r="M21" s="2120"/>
      <c r="N21" s="2120"/>
      <c r="O21" s="2120"/>
      <c r="P21" s="3406"/>
      <c r="Q21" s="2544" t="str">
        <f>B21</f>
        <v>基础设施水平</v>
      </c>
      <c r="R21" s="1560" t="s">
        <v>8</v>
      </c>
      <c r="S21" s="1561">
        <f>F21</f>
        <v>100</v>
      </c>
      <c r="T21" s="1560" t="s">
        <v>8</v>
      </c>
      <c r="U21" s="1561">
        <f>H21</f>
        <v>100</v>
      </c>
      <c r="V21" s="1560" t="s">
        <v>8</v>
      </c>
      <c r="W21" s="1561">
        <f>J21</f>
        <v>100</v>
      </c>
      <c r="X21" s="2546"/>
      <c r="Y21" s="3406"/>
      <c r="Z21" s="2545" t="str">
        <f>Q21</f>
        <v>基础设施水平</v>
      </c>
      <c r="AA21" s="1563">
        <f t="shared" ref="AA21" si="8">D21/F21</f>
        <v>1</v>
      </c>
      <c r="AB21" s="1563">
        <f t="shared" ref="AB21" si="9">D21/H21</f>
        <v>1</v>
      </c>
      <c r="AC21" s="1563">
        <f t="shared" ref="AC21" si="10">D21/J21</f>
        <v>1</v>
      </c>
    </row>
    <row r="22" spans="1:29" ht="15">
      <c r="A22" s="532"/>
      <c r="B22" s="578"/>
      <c r="C22" s="567" t="s">
        <v>3019</v>
      </c>
      <c r="D22" s="555"/>
      <c r="E22" s="576" t="s">
        <v>3019</v>
      </c>
      <c r="F22" s="555"/>
      <c r="G22" s="554" t="s">
        <v>3019</v>
      </c>
      <c r="H22" s="555"/>
      <c r="I22" s="554" t="s">
        <v>3019</v>
      </c>
      <c r="J22" s="555"/>
      <c r="K22" s="2567"/>
      <c r="L22" s="2128"/>
      <c r="M22" s="2120"/>
      <c r="N22" s="2120"/>
      <c r="O22" s="2120"/>
      <c r="P22" s="3406"/>
      <c r="Q22" s="2544"/>
      <c r="R22" s="1560"/>
      <c r="S22" s="1561"/>
      <c r="T22" s="1560"/>
      <c r="U22" s="1561"/>
      <c r="V22" s="1560"/>
      <c r="W22" s="1561"/>
      <c r="X22" s="2546"/>
      <c r="Y22" s="3406"/>
      <c r="Z22" s="2545"/>
      <c r="AA22" s="1563">
        <v>1</v>
      </c>
      <c r="AB22" s="1563">
        <v>1</v>
      </c>
      <c r="AC22" s="1563">
        <v>1</v>
      </c>
    </row>
    <row r="23" spans="1:29" ht="135.75" customHeight="1">
      <c r="A23" s="532"/>
      <c r="B23" s="560" t="s">
        <v>778</v>
      </c>
      <c r="C23" s="573" t="str">
        <f>估价对象房地状况!C9</f>
        <v>区域自然环境：火车头广场、北京园博园；人文环境：北京市第一中级人民法院、北京市第四中级人民法院；综合评价环境状况较好</v>
      </c>
      <c r="D23" s="559">
        <v>100</v>
      </c>
      <c r="E23" s="3191" t="s">
        <v>3097</v>
      </c>
      <c r="F23" s="559">
        <f>SUMIF(85:85,E24,86:86)-SUMIF(85:85,C24,86:86)+100</f>
        <v>99</v>
      </c>
      <c r="G23" s="562" t="str">
        <f>E23</f>
        <v>区域自然环境：科丰公园；人文环境：汽车博物馆；综合评价环境状况较好</v>
      </c>
      <c r="H23" s="559">
        <f>SUMIF(85:85,G24,86:86)-SUMIF(85:85,C24,86:86)+100</f>
        <v>99</v>
      </c>
      <c r="I23" s="3195" t="s">
        <v>3098</v>
      </c>
      <c r="J23" s="559">
        <f>SUMIF(85:85,I24,86:86)-SUMIF(85:85,C24,86:86)+100</f>
        <v>100</v>
      </c>
      <c r="K23" s="898">
        <v>1</v>
      </c>
      <c r="L23" s="2128"/>
      <c r="M23" s="2120"/>
      <c r="N23" s="2120"/>
      <c r="O23" s="2120"/>
      <c r="P23" s="3406"/>
      <c r="Q23" s="1559" t="str">
        <f>B23</f>
        <v>环境质量</v>
      </c>
      <c r="R23" s="1560" t="s">
        <v>8</v>
      </c>
      <c r="S23" s="1561">
        <f>F23</f>
        <v>99</v>
      </c>
      <c r="T23" s="1560" t="s">
        <v>8</v>
      </c>
      <c r="U23" s="1561">
        <f>H23</f>
        <v>99</v>
      </c>
      <c r="V23" s="1560" t="s">
        <v>8</v>
      </c>
      <c r="W23" s="1561">
        <f>J23</f>
        <v>100</v>
      </c>
      <c r="X23" s="1554"/>
      <c r="Y23" s="3406"/>
      <c r="Z23" s="1562" t="str">
        <f>Q23</f>
        <v>环境质量</v>
      </c>
      <c r="AA23" s="1563">
        <f t="shared" si="3"/>
        <v>1.0101010101010102</v>
      </c>
      <c r="AB23" s="1563">
        <f t="shared" si="4"/>
        <v>1.0101010101010102</v>
      </c>
      <c r="AC23" s="1563">
        <f t="shared" si="5"/>
        <v>1</v>
      </c>
    </row>
    <row r="24" spans="1:29" ht="15">
      <c r="A24" s="532"/>
      <c r="B24" s="578"/>
      <c r="C24" s="554" t="s">
        <v>3008</v>
      </c>
      <c r="D24" s="555"/>
      <c r="E24" s="558" t="s">
        <v>3009</v>
      </c>
      <c r="F24" s="555"/>
      <c r="G24" s="556" t="s">
        <v>3009</v>
      </c>
      <c r="H24" s="555"/>
      <c r="I24" s="556" t="s">
        <v>3008</v>
      </c>
      <c r="J24" s="555"/>
      <c r="K24" s="899"/>
      <c r="L24" s="2128"/>
      <c r="M24" s="2120"/>
      <c r="N24" s="2120"/>
      <c r="O24" s="2120"/>
      <c r="P24" s="3406"/>
      <c r="Q24" s="1559"/>
      <c r="R24" s="1560"/>
      <c r="S24" s="1561"/>
      <c r="T24" s="1560"/>
      <c r="U24" s="1561"/>
      <c r="V24" s="1560"/>
      <c r="W24" s="1561"/>
      <c r="X24" s="1554"/>
      <c r="Y24" s="3406"/>
      <c r="Z24" s="1562"/>
      <c r="AA24" s="1563">
        <v>1</v>
      </c>
      <c r="AB24" s="1563">
        <v>1</v>
      </c>
      <c r="AC24" s="1563">
        <v>1</v>
      </c>
    </row>
    <row r="25" spans="1:29" ht="28.5">
      <c r="A25" s="515"/>
      <c r="B25" s="560" t="s">
        <v>548</v>
      </c>
      <c r="C25" s="912" t="str">
        <f>估价对象房地状况!C10</f>
        <v>城市支路——张仪村东五路</v>
      </c>
      <c r="D25" s="540">
        <v>100</v>
      </c>
      <c r="E25" s="539" t="s">
        <v>3105</v>
      </c>
      <c r="F25" s="540">
        <f>SUMIF(87:87,E26,88:88)-SUMIF(87:87,C26,88:88)+100</f>
        <v>100.5</v>
      </c>
      <c r="G25" s="912" t="s">
        <v>3104</v>
      </c>
      <c r="H25" s="540">
        <f>SUMIF(87:87,G26,88:88)-SUMIF(87:87,C26,88:88)+100</f>
        <v>100.5</v>
      </c>
      <c r="I25" s="539" t="s">
        <v>3020</v>
      </c>
      <c r="J25" s="540">
        <f>SUMIF(87:87,I26,88:88)-SUMIF(87:87,C26,88:88)+100</f>
        <v>100.5</v>
      </c>
      <c r="K25" s="898">
        <v>0.5</v>
      </c>
      <c r="L25" s="2128"/>
      <c r="M25" s="2120"/>
      <c r="N25" s="2120"/>
      <c r="O25" s="2120"/>
      <c r="P25" s="3406"/>
      <c r="Q25" s="1559" t="str">
        <f>B25</f>
        <v>毗邻道路的类型与等级</v>
      </c>
      <c r="R25" s="1560" t="s">
        <v>8</v>
      </c>
      <c r="S25" s="1561">
        <f>F25</f>
        <v>100.5</v>
      </c>
      <c r="T25" s="1560" t="s">
        <v>8</v>
      </c>
      <c r="U25" s="1561">
        <f>H25</f>
        <v>100.5</v>
      </c>
      <c r="V25" s="1560" t="s">
        <v>8</v>
      </c>
      <c r="W25" s="1561">
        <f>J25</f>
        <v>100.5</v>
      </c>
      <c r="X25" s="1554"/>
      <c r="Y25" s="3406"/>
      <c r="Z25" s="1562" t="str">
        <f>Q25</f>
        <v>毗邻道路的类型与等级</v>
      </c>
      <c r="AA25" s="1563">
        <f t="shared" si="3"/>
        <v>0.99502487562189057</v>
      </c>
      <c r="AB25" s="1563">
        <f t="shared" si="4"/>
        <v>0.99502487562189057</v>
      </c>
      <c r="AC25" s="1563">
        <f t="shared" si="5"/>
        <v>0.99502487562189057</v>
      </c>
    </row>
    <row r="26" spans="1:29" ht="15.75" thickBot="1">
      <c r="A26" s="515"/>
      <c r="B26" s="566"/>
      <c r="C26" s="580" t="s">
        <v>3022</v>
      </c>
      <c r="D26" s="540"/>
      <c r="E26" s="583" t="s">
        <v>3024</v>
      </c>
      <c r="F26" s="540"/>
      <c r="G26" s="580" t="s">
        <v>3024</v>
      </c>
      <c r="H26" s="540"/>
      <c r="I26" s="583" t="s">
        <v>3024</v>
      </c>
      <c r="J26" s="540"/>
      <c r="K26" s="899"/>
      <c r="L26" s="2128"/>
      <c r="M26" s="2120"/>
      <c r="N26" s="2120"/>
      <c r="O26" s="2120"/>
      <c r="P26" s="3406"/>
      <c r="Q26" s="1559"/>
      <c r="R26" s="1560"/>
      <c r="S26" s="1561"/>
      <c r="T26" s="1560"/>
      <c r="U26" s="1561"/>
      <c r="V26" s="1560"/>
      <c r="W26" s="1561"/>
      <c r="X26" s="1554"/>
      <c r="Y26" s="3406"/>
      <c r="Z26" s="1562"/>
      <c r="AA26" s="1563">
        <v>1</v>
      </c>
      <c r="AB26" s="1563">
        <v>1</v>
      </c>
      <c r="AC26" s="1563">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6"/>
      <c r="Q27" s="1559" t="str">
        <f t="shared" ref="Q27:Q47" si="11">B27</f>
        <v>楼层</v>
      </c>
      <c r="R27" s="1560" t="s">
        <v>8</v>
      </c>
      <c r="S27" s="1561">
        <f>F27</f>
        <v>100</v>
      </c>
      <c r="T27" s="1560" t="s">
        <v>8</v>
      </c>
      <c r="U27" s="1561">
        <f>H27</f>
        <v>100</v>
      </c>
      <c r="V27" s="1560" t="s">
        <v>8</v>
      </c>
      <c r="W27" s="1561">
        <f>J27</f>
        <v>100</v>
      </c>
      <c r="X27" s="1554"/>
      <c r="Y27" s="3406"/>
      <c r="Z27" s="1562" t="str">
        <f>Q27</f>
        <v>楼层</v>
      </c>
      <c r="AA27" s="1563">
        <f t="shared" si="3"/>
        <v>1</v>
      </c>
      <c r="AB27" s="1563">
        <f t="shared" si="4"/>
        <v>1</v>
      </c>
      <c r="AC27" s="1563">
        <f t="shared" si="5"/>
        <v>1</v>
      </c>
    </row>
    <row r="28" spans="1:29" s="1216" customFormat="1" ht="15" hidden="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6"/>
      <c r="Q28" s="1147" t="str">
        <f t="shared" si="11"/>
        <v>朝向</v>
      </c>
      <c r="R28" s="1555" t="s">
        <v>8</v>
      </c>
      <c r="S28" s="1556">
        <f>F28</f>
        <v>100</v>
      </c>
      <c r="T28" s="1555" t="s">
        <v>8</v>
      </c>
      <c r="U28" s="1556">
        <f>H28</f>
        <v>100</v>
      </c>
      <c r="V28" s="1555" t="s">
        <v>8</v>
      </c>
      <c r="W28" s="1556">
        <f>J28</f>
        <v>100</v>
      </c>
      <c r="X28" s="1557"/>
      <c r="Y28" s="3406"/>
      <c r="Z28" s="1146" t="str">
        <f>Q28</f>
        <v>朝向</v>
      </c>
      <c r="AA28" s="1563">
        <f>D28/F28</f>
        <v>1</v>
      </c>
      <c r="AB28" s="1563">
        <f>D28/H28</f>
        <v>1</v>
      </c>
      <c r="AC28" s="1563">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6"/>
      <c r="Q29" s="1559">
        <f t="shared" si="11"/>
        <v>111</v>
      </c>
      <c r="R29" s="1560" t="s">
        <v>8</v>
      </c>
      <c r="S29" s="1561">
        <f t="shared" ref="S29:S47" si="12">F29</f>
        <v>100</v>
      </c>
      <c r="T29" s="1560" t="s">
        <v>8</v>
      </c>
      <c r="U29" s="1561">
        <f t="shared" ref="U29:U47" si="13">H29</f>
        <v>100</v>
      </c>
      <c r="V29" s="1560" t="s">
        <v>8</v>
      </c>
      <c r="W29" s="1561">
        <f t="shared" ref="W29:W47" si="14">J29</f>
        <v>100</v>
      </c>
      <c r="X29" s="1554"/>
      <c r="Y29" s="3406"/>
      <c r="Z29" s="1562">
        <f t="shared" ref="Z29:Z47" si="15">Q29</f>
        <v>111</v>
      </c>
      <c r="AA29" s="1563">
        <f t="shared" si="3"/>
        <v>1</v>
      </c>
      <c r="AB29" s="1563">
        <f t="shared" si="4"/>
        <v>1</v>
      </c>
      <c r="AC29" s="1563">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6"/>
      <c r="Q30" s="1559">
        <f t="shared" si="11"/>
        <v>111</v>
      </c>
      <c r="R30" s="1560" t="s">
        <v>8</v>
      </c>
      <c r="S30" s="1561">
        <f t="shared" si="12"/>
        <v>100</v>
      </c>
      <c r="T30" s="1560" t="s">
        <v>8</v>
      </c>
      <c r="U30" s="1561">
        <f t="shared" si="13"/>
        <v>100</v>
      </c>
      <c r="V30" s="1560" t="s">
        <v>8</v>
      </c>
      <c r="W30" s="1561">
        <f t="shared" si="14"/>
        <v>100</v>
      </c>
      <c r="X30" s="1554"/>
      <c r="Y30" s="3406"/>
      <c r="Z30" s="1562">
        <f t="shared" si="15"/>
        <v>111</v>
      </c>
      <c r="AA30" s="1563">
        <f t="shared" si="3"/>
        <v>1</v>
      </c>
      <c r="AB30" s="1563">
        <f t="shared" si="4"/>
        <v>1</v>
      </c>
      <c r="AC30" s="1563">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6"/>
      <c r="Q31" s="1559">
        <f t="shared" si="11"/>
        <v>111</v>
      </c>
      <c r="R31" s="1560" t="s">
        <v>8</v>
      </c>
      <c r="S31" s="1561">
        <f t="shared" si="12"/>
        <v>100</v>
      </c>
      <c r="T31" s="1560" t="s">
        <v>8</v>
      </c>
      <c r="U31" s="1561">
        <f t="shared" si="13"/>
        <v>100</v>
      </c>
      <c r="V31" s="1560" t="s">
        <v>8</v>
      </c>
      <c r="W31" s="1561">
        <f t="shared" si="14"/>
        <v>100</v>
      </c>
      <c r="X31" s="1554"/>
      <c r="Y31" s="3406"/>
      <c r="Z31" s="1562">
        <f t="shared" si="15"/>
        <v>111</v>
      </c>
      <c r="AA31" s="1563">
        <f t="shared" si="3"/>
        <v>1</v>
      </c>
      <c r="AB31" s="1563">
        <f t="shared" si="4"/>
        <v>1</v>
      </c>
      <c r="AC31" s="1563">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6"/>
      <c r="Q32" s="1559">
        <f t="shared" si="11"/>
        <v>111</v>
      </c>
      <c r="R32" s="1560" t="s">
        <v>8</v>
      </c>
      <c r="S32" s="1561">
        <f t="shared" si="12"/>
        <v>100</v>
      </c>
      <c r="T32" s="1560" t="s">
        <v>8</v>
      </c>
      <c r="U32" s="1561">
        <f t="shared" si="13"/>
        <v>100</v>
      </c>
      <c r="V32" s="1560" t="s">
        <v>8</v>
      </c>
      <c r="W32" s="1561">
        <f t="shared" si="14"/>
        <v>100</v>
      </c>
      <c r="X32" s="1554"/>
      <c r="Y32" s="3406"/>
      <c r="Z32" s="1562">
        <f t="shared" si="15"/>
        <v>111</v>
      </c>
      <c r="AA32" s="1563">
        <f t="shared" si="3"/>
        <v>1</v>
      </c>
      <c r="AB32" s="1563">
        <f t="shared" si="4"/>
        <v>1</v>
      </c>
      <c r="AC32" s="1563">
        <f t="shared" si="5"/>
        <v>1</v>
      </c>
    </row>
    <row r="33" spans="1:29" ht="15">
      <c r="A33" s="2863" t="s">
        <v>2755</v>
      </c>
      <c r="B33" s="172" t="s">
        <v>780</v>
      </c>
      <c r="C33" s="916" t="s">
        <v>3099</v>
      </c>
      <c r="D33" s="597">
        <v>100</v>
      </c>
      <c r="E33" s="916" t="s">
        <v>3099</v>
      </c>
      <c r="F33" s="575">
        <f>SUMIF(101:101,E33,102:102)-SUMIF(101:101,C33,102:102)+100</f>
        <v>100</v>
      </c>
      <c r="G33" s="916" t="s">
        <v>3099</v>
      </c>
      <c r="H33" s="540">
        <f>SUMIF(101:101,G33,102:102)-SUMIF(101:101,C33,102:102)+100</f>
        <v>100</v>
      </c>
      <c r="I33" s="916" t="s">
        <v>3099</v>
      </c>
      <c r="J33" s="597">
        <f>SUMIF(101:101,I33,102:102)-SUMIF(101:101,C33,102:102)+100</f>
        <v>100</v>
      </c>
      <c r="K33" s="584"/>
      <c r="L33" s="2128"/>
      <c r="M33" s="2120"/>
      <c r="N33" s="2120"/>
      <c r="O33" s="2120"/>
      <c r="P33" s="3407" t="s">
        <v>550</v>
      </c>
      <c r="Q33" s="1559" t="str">
        <f t="shared" si="11"/>
        <v>建筑类型</v>
      </c>
      <c r="R33" s="1560" t="s">
        <v>8</v>
      </c>
      <c r="S33" s="1561">
        <f t="shared" si="12"/>
        <v>100</v>
      </c>
      <c r="T33" s="1560" t="s">
        <v>8</v>
      </c>
      <c r="U33" s="1561">
        <f t="shared" si="13"/>
        <v>100</v>
      </c>
      <c r="V33" s="1560" t="s">
        <v>8</v>
      </c>
      <c r="W33" s="1561">
        <f t="shared" si="14"/>
        <v>100</v>
      </c>
      <c r="X33" s="1554"/>
      <c r="Y33" s="3408" t="s">
        <v>550</v>
      </c>
      <c r="Z33" s="1562" t="str">
        <f t="shared" si="15"/>
        <v>建筑类型</v>
      </c>
      <c r="AA33" s="1563">
        <f t="shared" si="3"/>
        <v>1</v>
      </c>
      <c r="AB33" s="1563">
        <f t="shared" si="4"/>
        <v>1</v>
      </c>
      <c r="AC33" s="1563">
        <f t="shared" si="5"/>
        <v>1</v>
      </c>
    </row>
    <row r="34" spans="1:29" s="1335" customFormat="1" ht="15">
      <c r="A34" s="603"/>
      <c r="B34" s="527" t="s">
        <v>726</v>
      </c>
      <c r="C34" s="880">
        <f>'数据-汇总表'!F19</f>
        <v>44858</v>
      </c>
      <c r="D34" s="255">
        <v>100</v>
      </c>
      <c r="E34" s="534">
        <v>550</v>
      </c>
      <c r="F34" s="863">
        <f>LOOKUP(E34,104:104,105:105)-LOOKUP(C34,104:104,105:105)+100</f>
        <v>101</v>
      </c>
      <c r="G34" s="533">
        <v>820</v>
      </c>
      <c r="H34" s="255">
        <f>LOOKUP(G34,104:104,105:105)-LOOKUP(C34,104:104,105:105)+100</f>
        <v>101</v>
      </c>
      <c r="I34" s="533">
        <v>3300</v>
      </c>
      <c r="J34" s="255">
        <f>LOOKUP(I34,104:104,105:105)-LOOKUP(C34,104:104,105:105)+100</f>
        <v>100.5</v>
      </c>
      <c r="K34" s="581"/>
      <c r="L34" s="2126"/>
      <c r="M34" s="2157"/>
      <c r="N34" s="2157"/>
      <c r="O34" s="2157"/>
      <c r="P34" s="3408"/>
      <c r="Q34" s="1591" t="str">
        <f t="shared" si="11"/>
        <v>项目建筑规模</v>
      </c>
      <c r="R34" s="1564" t="s">
        <v>8</v>
      </c>
      <c r="S34" s="1565">
        <f t="shared" si="12"/>
        <v>101</v>
      </c>
      <c r="T34" s="1564" t="s">
        <v>8</v>
      </c>
      <c r="U34" s="1565">
        <f t="shared" si="13"/>
        <v>101</v>
      </c>
      <c r="V34" s="1564" t="s">
        <v>8</v>
      </c>
      <c r="W34" s="1565">
        <f t="shared" si="14"/>
        <v>100.5</v>
      </c>
      <c r="X34" s="1566"/>
      <c r="Y34" s="3408"/>
      <c r="Z34" s="1567" t="str">
        <f t="shared" si="15"/>
        <v>项目建筑规模</v>
      </c>
      <c r="AA34" s="1563">
        <f t="shared" si="3"/>
        <v>0.99009900990099009</v>
      </c>
      <c r="AB34" s="1563">
        <f t="shared" si="4"/>
        <v>0.99009900990099009</v>
      </c>
      <c r="AC34" s="1563">
        <f t="shared" si="5"/>
        <v>0.99502487562189057</v>
      </c>
    </row>
    <row r="35" spans="1:29" ht="15">
      <c r="A35" s="594"/>
      <c r="B35" s="527" t="s">
        <v>727</v>
      </c>
      <c r="C35" s="574" t="s">
        <v>3025</v>
      </c>
      <c r="D35" s="540">
        <v>100</v>
      </c>
      <c r="E35" s="574" t="s">
        <v>3025</v>
      </c>
      <c r="F35" s="575">
        <f>SUMIF(106:106,E35,107:107)-SUMIF(106:106,C35,107:107)+100</f>
        <v>100</v>
      </c>
      <c r="G35" s="574" t="s">
        <v>3025</v>
      </c>
      <c r="H35" s="540">
        <f>SUMIF(106:106,G35,107:107)-SUMIF(106:106,C35,107:107)+100</f>
        <v>100</v>
      </c>
      <c r="I35" s="574" t="s">
        <v>3025</v>
      </c>
      <c r="J35" s="540">
        <f>SUMIF(106:106,I35,107:107)-SUMIF(106:106,C35,107:107)+100</f>
        <v>100</v>
      </c>
      <c r="K35" s="584"/>
      <c r="L35" s="2128"/>
      <c r="M35" s="2120"/>
      <c r="N35" s="2120"/>
      <c r="O35" s="2120"/>
      <c r="P35" s="3408"/>
      <c r="Q35" s="1559" t="str">
        <f t="shared" si="11"/>
        <v>建筑结构</v>
      </c>
      <c r="R35" s="1560" t="s">
        <v>8</v>
      </c>
      <c r="S35" s="1561">
        <f t="shared" si="12"/>
        <v>100</v>
      </c>
      <c r="T35" s="1560" t="s">
        <v>8</v>
      </c>
      <c r="U35" s="1561">
        <f t="shared" si="13"/>
        <v>100</v>
      </c>
      <c r="V35" s="1560" t="s">
        <v>8</v>
      </c>
      <c r="W35" s="1561">
        <f t="shared" si="14"/>
        <v>100</v>
      </c>
      <c r="X35" s="1554"/>
      <c r="Y35" s="3408"/>
      <c r="Z35" s="1562" t="str">
        <f t="shared" si="15"/>
        <v>建筑结构</v>
      </c>
      <c r="AA35" s="1563">
        <f t="shared" si="3"/>
        <v>1</v>
      </c>
      <c r="AB35" s="1563">
        <f t="shared" si="4"/>
        <v>1</v>
      </c>
      <c r="AC35" s="1563">
        <f t="shared" si="5"/>
        <v>1</v>
      </c>
    </row>
    <row r="36" spans="1:29" ht="15">
      <c r="A36" s="594"/>
      <c r="B36" s="527" t="s">
        <v>763</v>
      </c>
      <c r="C36" s="574" t="s">
        <v>3027</v>
      </c>
      <c r="D36" s="540">
        <v>100</v>
      </c>
      <c r="E36" s="574" t="s">
        <v>3027</v>
      </c>
      <c r="F36" s="575">
        <f>SUMIF(108:108,E36,109:109)-SUMIF(108:108,C36,109:109)+100</f>
        <v>100</v>
      </c>
      <c r="G36" s="574" t="s">
        <v>3037</v>
      </c>
      <c r="H36" s="540">
        <f>SUMIF(108:108,G36,109:109)-SUMIF(108:108,C36,109:109)+100</f>
        <v>97</v>
      </c>
      <c r="I36" s="574" t="s">
        <v>3037</v>
      </c>
      <c r="J36" s="540">
        <f>SUMIF(108:108,I36,109:109)-SUMIF(108:108,C36,109:109)+100</f>
        <v>97</v>
      </c>
      <c r="K36" s="584">
        <v>3</v>
      </c>
      <c r="L36" s="2128"/>
      <c r="M36" s="2120"/>
      <c r="N36" s="2120"/>
      <c r="O36" s="2120"/>
      <c r="P36" s="3408"/>
      <c r="Q36" s="1559" t="str">
        <f t="shared" si="11"/>
        <v>公共部分装修</v>
      </c>
      <c r="R36" s="1560" t="s">
        <v>8</v>
      </c>
      <c r="S36" s="1561">
        <f t="shared" si="12"/>
        <v>100</v>
      </c>
      <c r="T36" s="1560" t="s">
        <v>8</v>
      </c>
      <c r="U36" s="1561">
        <f t="shared" si="13"/>
        <v>97</v>
      </c>
      <c r="V36" s="1560" t="s">
        <v>8</v>
      </c>
      <c r="W36" s="1561">
        <f t="shared" si="14"/>
        <v>97</v>
      </c>
      <c r="X36" s="1554"/>
      <c r="Y36" s="3408"/>
      <c r="Z36" s="1562" t="str">
        <f t="shared" si="15"/>
        <v>公共部分装修</v>
      </c>
      <c r="AA36" s="1563">
        <f t="shared" si="3"/>
        <v>1</v>
      </c>
      <c r="AB36" s="1563">
        <f t="shared" si="4"/>
        <v>1.0309278350515463</v>
      </c>
      <c r="AC36" s="1563">
        <f t="shared" si="5"/>
        <v>1.0309278350515463</v>
      </c>
    </row>
    <row r="37" spans="1:29" ht="15" hidden="1">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c r="L37" s="2128"/>
      <c r="M37" s="2120"/>
      <c r="N37" s="2120"/>
      <c r="O37" s="2120"/>
      <c r="P37" s="3408"/>
      <c r="Q37" s="1559" t="str">
        <f t="shared" si="11"/>
        <v>成新度</v>
      </c>
      <c r="R37" s="1560" t="s">
        <v>8</v>
      </c>
      <c r="S37" s="1561">
        <f t="shared" si="12"/>
        <v>100</v>
      </c>
      <c r="T37" s="1560" t="s">
        <v>8</v>
      </c>
      <c r="U37" s="1561">
        <f t="shared" si="13"/>
        <v>100</v>
      </c>
      <c r="V37" s="1560" t="s">
        <v>8</v>
      </c>
      <c r="W37" s="1561">
        <f t="shared" si="14"/>
        <v>100</v>
      </c>
      <c r="X37" s="1554"/>
      <c r="Y37" s="3408"/>
      <c r="Z37" s="1562" t="str">
        <f t="shared" si="15"/>
        <v>成新度</v>
      </c>
      <c r="AA37" s="1563">
        <f t="shared" si="3"/>
        <v>1</v>
      </c>
      <c r="AB37" s="1563">
        <f t="shared" si="4"/>
        <v>1</v>
      </c>
      <c r="AC37" s="1563">
        <f t="shared" si="5"/>
        <v>1</v>
      </c>
    </row>
    <row r="38" spans="1:29" s="1216" customFormat="1" ht="15" hidden="1">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8"/>
      <c r="Q38" s="1147" t="str">
        <f t="shared" si="11"/>
        <v>写字楼等级</v>
      </c>
      <c r="R38" s="1555" t="s">
        <v>8</v>
      </c>
      <c r="S38" s="1556">
        <f t="shared" si="12"/>
        <v>100</v>
      </c>
      <c r="T38" s="1555" t="s">
        <v>8</v>
      </c>
      <c r="U38" s="1556">
        <f t="shared" si="13"/>
        <v>100</v>
      </c>
      <c r="V38" s="1555" t="s">
        <v>8</v>
      </c>
      <c r="W38" s="1556">
        <f t="shared" si="14"/>
        <v>100</v>
      </c>
      <c r="X38" s="1557"/>
      <c r="Y38" s="3408"/>
      <c r="Z38" s="1146" t="str">
        <f t="shared" si="15"/>
        <v>写字楼等级</v>
      </c>
      <c r="AA38" s="1558">
        <f t="shared" si="3"/>
        <v>1</v>
      </c>
      <c r="AB38" s="1558">
        <f t="shared" si="4"/>
        <v>1</v>
      </c>
      <c r="AC38" s="1558">
        <f t="shared" si="5"/>
        <v>1</v>
      </c>
    </row>
    <row r="39" spans="1:29" ht="15">
      <c r="A39" s="594"/>
      <c r="B39" s="527" t="s">
        <v>782</v>
      </c>
      <c r="C39" s="574" t="s">
        <v>3029</v>
      </c>
      <c r="D39" s="540">
        <v>100</v>
      </c>
      <c r="E39" s="574" t="s">
        <v>3029</v>
      </c>
      <c r="F39" s="575">
        <f>SUMIF(115:115,E39,116:116)-SUMIF(115:115,C39,116:116)+100</f>
        <v>100</v>
      </c>
      <c r="G39" s="574" t="s">
        <v>3029</v>
      </c>
      <c r="H39" s="540">
        <f>SUMIF(115:115,G39,116:116)-SUMIF(115:115,C39,116:116)+100</f>
        <v>100</v>
      </c>
      <c r="I39" s="574" t="s">
        <v>3029</v>
      </c>
      <c r="J39" s="540">
        <f>SUMIF(115:115,I39,116:116)-SUMIF(115:115,C39,116:116)+100</f>
        <v>100</v>
      </c>
      <c r="K39" s="584"/>
      <c r="L39" s="2128"/>
      <c r="M39" s="2120"/>
      <c r="N39" s="2120"/>
      <c r="O39" s="2120"/>
      <c r="P39" s="3408" t="s">
        <v>550</v>
      </c>
      <c r="Q39" s="1559" t="str">
        <f t="shared" si="11"/>
        <v>物业管理</v>
      </c>
      <c r="R39" s="1560" t="s">
        <v>8</v>
      </c>
      <c r="S39" s="1561">
        <f t="shared" si="12"/>
        <v>100</v>
      </c>
      <c r="T39" s="1560" t="s">
        <v>8</v>
      </c>
      <c r="U39" s="1561">
        <f t="shared" si="13"/>
        <v>100</v>
      </c>
      <c r="V39" s="1560" t="s">
        <v>8</v>
      </c>
      <c r="W39" s="1561">
        <f t="shared" si="14"/>
        <v>100</v>
      </c>
      <c r="X39" s="1554"/>
      <c r="Y39" s="3408" t="s">
        <v>550</v>
      </c>
      <c r="Z39" s="1562" t="str">
        <f t="shared" si="15"/>
        <v>物业管理</v>
      </c>
      <c r="AA39" s="1563">
        <f t="shared" si="3"/>
        <v>1</v>
      </c>
      <c r="AB39" s="1563">
        <f t="shared" si="4"/>
        <v>1</v>
      </c>
      <c r="AC39" s="1563">
        <f t="shared" si="5"/>
        <v>1</v>
      </c>
    </row>
    <row r="40" spans="1:29" ht="15">
      <c r="A40" s="594"/>
      <c r="B40" s="1881" t="s">
        <v>2565</v>
      </c>
      <c r="C40" s="574" t="s">
        <v>3019</v>
      </c>
      <c r="D40" s="540">
        <v>100</v>
      </c>
      <c r="E40" s="574" t="s">
        <v>3019</v>
      </c>
      <c r="F40" s="575">
        <f>SUMIF(117:117,E40,118:118)-SUMIF(117:117,C40,118:118)+100</f>
        <v>100</v>
      </c>
      <c r="G40" s="574" t="s">
        <v>3019</v>
      </c>
      <c r="H40" s="540">
        <f>SUMIF(117:117,G40,118:118)-SUMIF(117:117,C40,118:118)+100</f>
        <v>100</v>
      </c>
      <c r="I40" s="574" t="s">
        <v>3019</v>
      </c>
      <c r="J40" s="540">
        <f>SUMIF(117:117,I40,118:118)-SUMIF(117:117,C40,118:118)+100</f>
        <v>100</v>
      </c>
      <c r="K40" s="584"/>
      <c r="L40" s="2128"/>
      <c r="M40" s="2120"/>
      <c r="N40" s="2120"/>
      <c r="O40" s="2120"/>
      <c r="P40" s="3408"/>
      <c r="Q40" s="1559" t="str">
        <f t="shared" si="11"/>
        <v>市政基础设施</v>
      </c>
      <c r="R40" s="1560" t="s">
        <v>8</v>
      </c>
      <c r="S40" s="1561">
        <f t="shared" si="12"/>
        <v>100</v>
      </c>
      <c r="T40" s="1560" t="s">
        <v>8</v>
      </c>
      <c r="U40" s="1561">
        <f t="shared" si="13"/>
        <v>100</v>
      </c>
      <c r="V40" s="1560" t="s">
        <v>8</v>
      </c>
      <c r="W40" s="1561">
        <f t="shared" si="14"/>
        <v>100</v>
      </c>
      <c r="X40" s="1554"/>
      <c r="Y40" s="3408"/>
      <c r="Z40" s="1562" t="str">
        <f t="shared" si="15"/>
        <v>市政基础设施</v>
      </c>
      <c r="AA40" s="1563">
        <f t="shared" si="3"/>
        <v>1</v>
      </c>
      <c r="AB40" s="1563">
        <f t="shared" si="4"/>
        <v>1</v>
      </c>
      <c r="AC40" s="1563">
        <f t="shared" si="5"/>
        <v>1</v>
      </c>
    </row>
    <row r="41" spans="1:29" ht="15">
      <c r="A41" s="594"/>
      <c r="B41" s="527" t="s">
        <v>767</v>
      </c>
      <c r="C41" s="583" t="s">
        <v>3034</v>
      </c>
      <c r="D41" s="540">
        <v>100</v>
      </c>
      <c r="E41" s="583" t="s">
        <v>3034</v>
      </c>
      <c r="F41" s="575">
        <f>SUMIF(119:119,E41,120:120)-SUMIF(119:119,C41,120:120)+100</f>
        <v>100</v>
      </c>
      <c r="G41" s="583" t="s">
        <v>3034</v>
      </c>
      <c r="H41" s="540">
        <f>SUMIF(119:119,G41,120:120)-SUMIF(119:119,C41,120:120)+100</f>
        <v>100</v>
      </c>
      <c r="I41" s="583" t="s">
        <v>3034</v>
      </c>
      <c r="J41" s="540">
        <f>SUMIF(119:119,I41,120:120)-SUMIF(119:119,C41,120:120)+100</f>
        <v>100</v>
      </c>
      <c r="K41" s="584"/>
      <c r="L41" s="2128"/>
      <c r="M41" s="2120"/>
      <c r="N41" s="2120"/>
      <c r="O41" s="2120"/>
      <c r="P41" s="3408"/>
      <c r="Q41" s="1559" t="str">
        <f t="shared" si="11"/>
        <v>层高</v>
      </c>
      <c r="R41" s="1560" t="s">
        <v>8</v>
      </c>
      <c r="S41" s="1561">
        <f t="shared" si="12"/>
        <v>100</v>
      </c>
      <c r="T41" s="1560" t="s">
        <v>8</v>
      </c>
      <c r="U41" s="1561">
        <f t="shared" si="13"/>
        <v>100</v>
      </c>
      <c r="V41" s="1560" t="s">
        <v>8</v>
      </c>
      <c r="W41" s="1561">
        <f t="shared" si="14"/>
        <v>100</v>
      </c>
      <c r="X41" s="1554"/>
      <c r="Y41" s="3408"/>
      <c r="Z41" s="1562" t="str">
        <f t="shared" si="15"/>
        <v>层高</v>
      </c>
      <c r="AA41" s="1563">
        <f t="shared" si="3"/>
        <v>1</v>
      </c>
      <c r="AB41" s="1563">
        <f t="shared" si="4"/>
        <v>1</v>
      </c>
      <c r="AC41" s="1563">
        <f t="shared" si="5"/>
        <v>1</v>
      </c>
    </row>
    <row r="42" spans="1:29" s="1335" customFormat="1" ht="15" hidden="1">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8"/>
      <c r="Q42" s="1591" t="str">
        <f t="shared" si="11"/>
        <v>单套建筑面积</v>
      </c>
      <c r="R42" s="1564" t="s">
        <v>8</v>
      </c>
      <c r="S42" s="1565">
        <f t="shared" si="12"/>
        <v>100</v>
      </c>
      <c r="T42" s="1564" t="s">
        <v>8</v>
      </c>
      <c r="U42" s="1565">
        <f t="shared" si="13"/>
        <v>100</v>
      </c>
      <c r="V42" s="1564" t="s">
        <v>8</v>
      </c>
      <c r="W42" s="1565">
        <f t="shared" si="14"/>
        <v>100</v>
      </c>
      <c r="X42" s="1566"/>
      <c r="Y42" s="3408"/>
      <c r="Z42" s="1567" t="str">
        <f t="shared" si="15"/>
        <v>单套建筑面积</v>
      </c>
      <c r="AA42" s="1563">
        <f t="shared" si="3"/>
        <v>1</v>
      </c>
      <c r="AB42" s="1563">
        <f t="shared" si="4"/>
        <v>1</v>
      </c>
      <c r="AC42" s="1563">
        <f t="shared" si="5"/>
        <v>1</v>
      </c>
    </row>
    <row r="43" spans="1:29" ht="15.75" thickBot="1">
      <c r="A43" s="594"/>
      <c r="B43" s="527" t="s">
        <v>770</v>
      </c>
      <c r="C43" s="574" t="s">
        <v>3101</v>
      </c>
      <c r="D43" s="540">
        <v>100</v>
      </c>
      <c r="E43" s="574" t="s">
        <v>3101</v>
      </c>
      <c r="F43" s="575">
        <f>SUMIF(123:123,E43,124:124)-SUMIF(123:123,C43,124:124)+100</f>
        <v>100</v>
      </c>
      <c r="G43" s="574" t="s">
        <v>3101</v>
      </c>
      <c r="H43" s="540">
        <f>SUMIF(123:123,G43,124:124)-SUMIF(123:123,C43,124:124)+100</f>
        <v>100</v>
      </c>
      <c r="I43" s="574" t="s">
        <v>3101</v>
      </c>
      <c r="J43" s="540">
        <f>SUMIF(123:123,I43,124:124)-SUMIF(123:123,C43,124:124)+100</f>
        <v>100</v>
      </c>
      <c r="K43" s="584"/>
      <c r="L43" s="2128"/>
      <c r="M43" s="2120"/>
      <c r="N43" s="2120"/>
      <c r="O43" s="2120"/>
      <c r="P43" s="3408"/>
      <c r="Q43" s="1559" t="str">
        <f t="shared" si="11"/>
        <v>内部装修</v>
      </c>
      <c r="R43" s="1560" t="s">
        <v>8</v>
      </c>
      <c r="S43" s="1561">
        <f t="shared" si="12"/>
        <v>100</v>
      </c>
      <c r="T43" s="1560" t="s">
        <v>8</v>
      </c>
      <c r="U43" s="1561">
        <f t="shared" si="13"/>
        <v>100</v>
      </c>
      <c r="V43" s="1560" t="s">
        <v>8</v>
      </c>
      <c r="W43" s="1561">
        <f t="shared" si="14"/>
        <v>100</v>
      </c>
      <c r="X43" s="1554"/>
      <c r="Y43" s="3408"/>
      <c r="Z43" s="1562" t="str">
        <f t="shared" si="15"/>
        <v>内部装修</v>
      </c>
      <c r="AA43" s="1563">
        <f t="shared" si="3"/>
        <v>1</v>
      </c>
      <c r="AB43" s="1563">
        <f t="shared" si="4"/>
        <v>1</v>
      </c>
      <c r="AC43" s="1563">
        <f t="shared" si="5"/>
        <v>1</v>
      </c>
    </row>
    <row r="44" spans="1:29" ht="27.75" hidden="1" thickBot="1">
      <c r="A44" s="594"/>
      <c r="B44" s="527" t="s">
        <v>735</v>
      </c>
      <c r="C44" s="574" t="s">
        <v>3008</v>
      </c>
      <c r="D44" s="540">
        <v>100</v>
      </c>
      <c r="E44" s="599" t="s">
        <v>3008</v>
      </c>
      <c r="F44" s="575">
        <f>SUMIF(125:125,E44,126:126)-SUMIF(125:125,C44,126:126)+100</f>
        <v>100</v>
      </c>
      <c r="G44" s="599" t="s">
        <v>3008</v>
      </c>
      <c r="H44" s="540">
        <f>SUMIF(125:125,G44,126:126)-SUMIF(125:125,C44,126:126)+100</f>
        <v>100</v>
      </c>
      <c r="I44" s="599" t="s">
        <v>3008</v>
      </c>
      <c r="J44" s="540">
        <f>SUMIF(125:125,I44,126:126)-SUMIF(125:125,C44,126:126)+100</f>
        <v>100</v>
      </c>
      <c r="K44" s="584"/>
      <c r="L44" s="2128"/>
      <c r="M44" s="2120"/>
      <c r="N44" s="2120"/>
      <c r="O44" s="2120"/>
      <c r="P44" s="3408"/>
      <c r="Q44" s="1559" t="str">
        <f t="shared" si="11"/>
        <v>内部装修维护情况</v>
      </c>
      <c r="R44" s="1560" t="s">
        <v>8</v>
      </c>
      <c r="S44" s="1561">
        <f t="shared" si="12"/>
        <v>100</v>
      </c>
      <c r="T44" s="1560" t="s">
        <v>8</v>
      </c>
      <c r="U44" s="1561">
        <f t="shared" si="13"/>
        <v>100</v>
      </c>
      <c r="V44" s="1560" t="s">
        <v>8</v>
      </c>
      <c r="W44" s="1561">
        <f t="shared" si="14"/>
        <v>100</v>
      </c>
      <c r="X44" s="1554"/>
      <c r="Y44" s="3408"/>
      <c r="Z44" s="1562" t="str">
        <f t="shared" si="15"/>
        <v>内部装修维护情况</v>
      </c>
      <c r="AA44" s="1563">
        <f t="shared" si="3"/>
        <v>1</v>
      </c>
      <c r="AB44" s="1563">
        <f t="shared" si="4"/>
        <v>1</v>
      </c>
      <c r="AC44" s="1563">
        <f t="shared" si="5"/>
        <v>1</v>
      </c>
    </row>
    <row r="45" spans="1:29" s="1216"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8"/>
      <c r="Q45" s="1147">
        <f t="shared" si="11"/>
        <v>111</v>
      </c>
      <c r="R45" s="1555" t="s">
        <v>8</v>
      </c>
      <c r="S45" s="1556">
        <f t="shared" si="12"/>
        <v>100</v>
      </c>
      <c r="T45" s="1555" t="s">
        <v>8</v>
      </c>
      <c r="U45" s="1556">
        <f t="shared" si="13"/>
        <v>100</v>
      </c>
      <c r="V45" s="1555" t="s">
        <v>8</v>
      </c>
      <c r="W45" s="1556">
        <f t="shared" si="14"/>
        <v>100</v>
      </c>
      <c r="X45" s="1557"/>
      <c r="Y45" s="3408"/>
      <c r="Z45" s="1146">
        <f t="shared" si="15"/>
        <v>111</v>
      </c>
      <c r="AA45" s="1558">
        <f t="shared" si="3"/>
        <v>1</v>
      </c>
      <c r="AB45" s="1558">
        <f t="shared" si="4"/>
        <v>1</v>
      </c>
      <c r="AC45" s="1558">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8"/>
      <c r="Q46" s="1559">
        <f t="shared" si="11"/>
        <v>111</v>
      </c>
      <c r="R46" s="1560" t="s">
        <v>8</v>
      </c>
      <c r="S46" s="1561">
        <f t="shared" si="12"/>
        <v>100</v>
      </c>
      <c r="T46" s="1560" t="s">
        <v>8</v>
      </c>
      <c r="U46" s="1561">
        <f t="shared" si="13"/>
        <v>100</v>
      </c>
      <c r="V46" s="1560" t="s">
        <v>8</v>
      </c>
      <c r="W46" s="1561">
        <f t="shared" si="14"/>
        <v>100</v>
      </c>
      <c r="X46" s="1554"/>
      <c r="Y46" s="3408"/>
      <c r="Z46" s="1562">
        <f t="shared" si="15"/>
        <v>111</v>
      </c>
      <c r="AA46" s="1563">
        <f t="shared" si="3"/>
        <v>1</v>
      </c>
      <c r="AB46" s="1563">
        <f t="shared" si="4"/>
        <v>1</v>
      </c>
      <c r="AC46" s="1563">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09"/>
      <c r="Q47" s="1559">
        <f t="shared" si="11"/>
        <v>111</v>
      </c>
      <c r="R47" s="1560" t="s">
        <v>8</v>
      </c>
      <c r="S47" s="1561">
        <f t="shared" si="12"/>
        <v>100</v>
      </c>
      <c r="T47" s="1560" t="s">
        <v>8</v>
      </c>
      <c r="U47" s="1561">
        <f t="shared" si="13"/>
        <v>100</v>
      </c>
      <c r="V47" s="1560" t="s">
        <v>8</v>
      </c>
      <c r="W47" s="1561">
        <f t="shared" si="14"/>
        <v>100</v>
      </c>
      <c r="X47" s="1554"/>
      <c r="Y47" s="3509"/>
      <c r="Z47" s="1562">
        <f t="shared" si="15"/>
        <v>111</v>
      </c>
      <c r="AA47" s="1563">
        <f t="shared" si="3"/>
        <v>1</v>
      </c>
      <c r="AB47" s="1563">
        <f t="shared" si="4"/>
        <v>1</v>
      </c>
      <c r="AC47" s="1563">
        <f t="shared" si="5"/>
        <v>1</v>
      </c>
    </row>
    <row r="48" spans="1:29" ht="15">
      <c r="A48" s="607" t="s">
        <v>736</v>
      </c>
      <c r="B48" s="887"/>
      <c r="C48" s="2592" t="s">
        <v>1</v>
      </c>
      <c r="D48" s="2593"/>
      <c r="E48" s="2594">
        <v>5.7</v>
      </c>
      <c r="F48" s="2595"/>
      <c r="G48" s="2596">
        <v>5.6</v>
      </c>
      <c r="H48" s="2597"/>
      <c r="I48" s="2594">
        <v>5.5</v>
      </c>
      <c r="J48" s="2597"/>
      <c r="K48" s="1597"/>
      <c r="L48" s="2130"/>
      <c r="M48" s="2120"/>
      <c r="N48" s="2120"/>
      <c r="O48" s="2120"/>
      <c r="P48" s="3426" t="str">
        <f>A48</f>
        <v>成交单价（元/平方米）</v>
      </c>
      <c r="Q48" s="3403"/>
      <c r="R48" s="3508">
        <f>E48</f>
        <v>5.7</v>
      </c>
      <c r="S48" s="3508"/>
      <c r="T48" s="3508">
        <f>G48</f>
        <v>5.6</v>
      </c>
      <c r="U48" s="3508"/>
      <c r="V48" s="3508">
        <f>I48</f>
        <v>5.5</v>
      </c>
      <c r="W48" s="3508"/>
      <c r="X48" s="1546"/>
      <c r="Y48" s="1568"/>
      <c r="Z48" s="1546"/>
      <c r="AA48" s="1546"/>
      <c r="AB48" s="1546"/>
      <c r="AC48" s="1546"/>
    </row>
    <row r="49" spans="1:29" ht="15.75" thickBot="1">
      <c r="A49" s="615" t="s">
        <v>2760</v>
      </c>
      <c r="B49" s="888"/>
      <c r="C49" s="2598">
        <f>R50</f>
        <v>5.6</v>
      </c>
      <c r="D49" s="2599"/>
      <c r="E49" s="2600">
        <f>R49</f>
        <v>5.6</v>
      </c>
      <c r="F49" s="2600"/>
      <c r="G49" s="2598">
        <f>T49</f>
        <v>5.7</v>
      </c>
      <c r="H49" s="2599"/>
      <c r="I49" s="2600">
        <f>V49</f>
        <v>5.6</v>
      </c>
      <c r="J49" s="2599"/>
      <c r="K49" s="1598"/>
      <c r="L49" s="2130"/>
      <c r="M49" s="2120"/>
      <c r="N49" s="2120"/>
      <c r="O49" s="2120"/>
      <c r="P49" s="3426" t="str">
        <f>A49</f>
        <v>比较价格（元/平方米）</v>
      </c>
      <c r="Q49" s="3403"/>
      <c r="R49" s="3508">
        <f>IF(F1="售价",ROUND(PRODUCT(R48,AA7:AA47),0),ROUND(PRODUCT(R48,AA7:AA47),1))</f>
        <v>5.6</v>
      </c>
      <c r="S49" s="3508"/>
      <c r="T49" s="3508">
        <f>IF(F1="售价",ROUND(PRODUCT(T48,AB7:AB47),0),ROUND(PRODUCT(T48,AB7:AB47),1))</f>
        <v>5.7</v>
      </c>
      <c r="U49" s="3508"/>
      <c r="V49" s="3508">
        <f>IF(F1="售价",ROUND(PRODUCT(V48,AC7:AC47),0),ROUND(PRODUCT(V48,AC7:AC47),1))</f>
        <v>5.6</v>
      </c>
      <c r="W49" s="3508"/>
      <c r="X49" s="1546"/>
      <c r="Y49" s="1546"/>
      <c r="Z49" s="1546"/>
      <c r="AA49" s="1546"/>
      <c r="AB49" s="1546"/>
      <c r="AC49" s="1546"/>
    </row>
    <row r="50" spans="1:29" ht="15.75" thickBot="1">
      <c r="A50" s="621" t="s">
        <v>3040</v>
      </c>
      <c r="B50" s="622"/>
      <c r="C50" s="2601">
        <f>R50</f>
        <v>5.6</v>
      </c>
      <c r="D50" s="2601"/>
      <c r="E50" s="2601"/>
      <c r="F50" s="2601"/>
      <c r="G50" s="2601"/>
      <c r="H50" s="2601"/>
      <c r="I50" s="2601"/>
      <c r="J50" s="2601"/>
      <c r="K50" s="1599"/>
      <c r="L50" s="2130"/>
      <c r="M50" s="2120"/>
      <c r="N50" s="2120"/>
      <c r="O50" s="2120"/>
      <c r="P50" s="3522" t="str">
        <f>A50</f>
        <v>估价对象办公用房的比较价格（楼面单价，元/平方米）</v>
      </c>
      <c r="Q50" s="3426"/>
      <c r="R50" s="3507">
        <f>IF(F1="售价",ROUND(AVERAGE(R49:V49),0),ROUND(AVERAGE(R49:V49),1))</f>
        <v>5.6</v>
      </c>
      <c r="S50" s="3507"/>
      <c r="T50" s="3507"/>
      <c r="U50" s="3507"/>
      <c r="V50" s="3507"/>
      <c r="W50" s="350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1.7857142857143016E-2</v>
      </c>
      <c r="F53" s="627" t="str">
        <f>IF(OR(E53&gt;=0.3,E53&lt;=-0.3),"超过30%","")</f>
        <v/>
      </c>
      <c r="G53" s="626">
        <f>IF(G48&lt;G49,G49/G48-1,G48/G49-1)</f>
        <v>1.7857142857143016E-2</v>
      </c>
      <c r="H53" s="627" t="str">
        <f>IF(OR(G53&gt;=0.3,G53&lt;=-0.3),"超过30%","")</f>
        <v/>
      </c>
      <c r="I53" s="626">
        <f>IF(I48&lt;I49,I49/I48-1,I48/I49-1)</f>
        <v>1.8181818181818077E-2</v>
      </c>
      <c r="J53" s="627" t="str">
        <f>IF(OR(I53&gt;=0.3,I53&lt;=-0.3),"超过30%","")</f>
        <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1.7857142857143016E-2</v>
      </c>
      <c r="F54" s="627" t="str">
        <f>IF(OR(E54&gt;=0.2,E54&lt;=-0.2),"超过20%","")</f>
        <v/>
      </c>
      <c r="G54" s="626">
        <f>IF(G49&lt;I49,I49/G49-1,G49/I49-1)</f>
        <v>1.7857142857143016E-2</v>
      </c>
      <c r="H54" s="627" t="str">
        <f>IF(OR(G54&gt;=0.2,G54&lt;=-0.2),"超过20%","")</f>
        <v/>
      </c>
      <c r="I54" s="626">
        <f>IF(I49&lt;E49,E49/I49-1,I49/E49-1)</f>
        <v>0</v>
      </c>
      <c r="J54" s="627" t="str">
        <f>IF(OR(I54&gt;=0.2,I54&lt;=-0.2),"超过20%","")</f>
        <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1.7857142857143016E-2</v>
      </c>
      <c r="F55" s="627" t="str">
        <f>IF(OR(E55&gt;=0.3,E55&lt;=-0.3),"超过30%","")</f>
        <v/>
      </c>
      <c r="G55" s="626">
        <f>IF(G48&lt;I48,I48/G48-1,G48/I48-1)</f>
        <v>1.8181818181818077E-2</v>
      </c>
      <c r="H55" s="627" t="str">
        <f>IF(OR(G55&gt;=0.3,G55&lt;=-0.3),"超过30%","")</f>
        <v/>
      </c>
      <c r="I55" s="626">
        <f>IF(I48&lt;E48,E48/I48-1,I48/E48-1)</f>
        <v>3.6363636363636376E-2</v>
      </c>
      <c r="J55" s="627" t="str">
        <f>IF(OR(I55&gt;=0.3,I55&lt;=-0.3),"超过30%","")</f>
        <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2019-4</v>
      </c>
      <c r="D59" s="2760">
        <f>EDATE(C59,-1)</f>
        <v>43525</v>
      </c>
      <c r="E59" s="2760">
        <f t="shared" ref="E59:O59" si="16">EDATE(D59,-1)</f>
        <v>43497</v>
      </c>
      <c r="F59" s="2760">
        <f t="shared" si="16"/>
        <v>43466</v>
      </c>
      <c r="G59" s="2760">
        <f t="shared" si="16"/>
        <v>43435</v>
      </c>
      <c r="H59" s="2760">
        <f t="shared" si="16"/>
        <v>43405</v>
      </c>
      <c r="I59" s="2760">
        <f t="shared" si="16"/>
        <v>43374</v>
      </c>
      <c r="J59" s="2760">
        <f t="shared" si="16"/>
        <v>43344</v>
      </c>
      <c r="K59" s="2760">
        <f t="shared" si="16"/>
        <v>43313</v>
      </c>
      <c r="L59" s="2760">
        <f t="shared" si="16"/>
        <v>43282</v>
      </c>
      <c r="M59" s="2760">
        <f t="shared" si="16"/>
        <v>43252</v>
      </c>
      <c r="N59" s="2760">
        <f t="shared" si="16"/>
        <v>43221</v>
      </c>
      <c r="O59" s="2760">
        <f t="shared" si="16"/>
        <v>43191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v>100</v>
      </c>
      <c r="E60" s="650">
        <v>100</v>
      </c>
      <c r="F60" s="650">
        <v>100</v>
      </c>
      <c r="G60" s="650">
        <v>100</v>
      </c>
      <c r="H60" s="650">
        <v>100</v>
      </c>
      <c r="I60" s="650">
        <v>100</v>
      </c>
      <c r="J60" s="650">
        <v>99</v>
      </c>
      <c r="K60" s="650">
        <v>99</v>
      </c>
      <c r="L60" s="650">
        <v>99</v>
      </c>
      <c r="M60" s="651">
        <v>99</v>
      </c>
      <c r="N60" s="650">
        <v>99</v>
      </c>
      <c r="O60" s="651">
        <v>99</v>
      </c>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t="str">
        <f>C9</f>
        <v>办公</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0（含）-3.5</v>
      </c>
      <c r="D68" s="682" t="str">
        <f t="shared" ref="D68:L68" si="17">D69&amp;"（含）"&amp;"-"&amp;E69</f>
        <v>3.5（含）-8</v>
      </c>
      <c r="E68" s="682" t="str">
        <f t="shared" si="17"/>
        <v>8（含）-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v>0</v>
      </c>
      <c r="D69" s="541">
        <v>3.5</v>
      </c>
      <c r="E69" s="541">
        <v>8</v>
      </c>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99</v>
      </c>
      <c r="E80" s="679">
        <f>D80-$K17</f>
        <v>98</v>
      </c>
      <c r="F80" s="679">
        <f>E80-$K17</f>
        <v>97</v>
      </c>
      <c r="G80" s="679">
        <f>F80-$K17</f>
        <v>96</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99</v>
      </c>
      <c r="E86" s="679">
        <f>D86-$K23</f>
        <v>98</v>
      </c>
      <c r="F86" s="679">
        <f>E86-$K23</f>
        <v>97</v>
      </c>
      <c r="G86" s="679">
        <f>F86-$K23</f>
        <v>96</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t="s">
        <v>3021</v>
      </c>
      <c r="D87" s="3189" t="s">
        <v>3023</v>
      </c>
      <c r="E87" s="3189"/>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99.5</v>
      </c>
      <c r="E88" s="679">
        <f t="shared" si="19"/>
        <v>99</v>
      </c>
      <c r="F88" s="679">
        <f t="shared" si="19"/>
        <v>98.5</v>
      </c>
      <c r="G88" s="679">
        <f t="shared" si="19"/>
        <v>98</v>
      </c>
      <c r="H88" s="679">
        <f t="shared" si="19"/>
        <v>97.5</v>
      </c>
      <c r="I88" s="679">
        <f t="shared" si="19"/>
        <v>97</v>
      </c>
      <c r="J88" s="679">
        <f t="shared" si="19"/>
        <v>96.5</v>
      </c>
      <c r="K88" s="679">
        <f t="shared" si="19"/>
        <v>96</v>
      </c>
      <c r="L88" s="679">
        <f t="shared" si="19"/>
        <v>95.5</v>
      </c>
      <c r="M88" s="679">
        <f t="shared" si="19"/>
        <v>95</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3192" t="s">
        <v>3100</v>
      </c>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29.25" thickTop="1">
      <c r="A103" s="669"/>
      <c r="B103" s="673" t="s">
        <v>748</v>
      </c>
      <c r="C103" s="708" t="str">
        <f>C104&amp;"(含)"&amp;"-"&amp;D104</f>
        <v>0(含)-3000</v>
      </c>
      <c r="D103" s="708" t="str">
        <f t="shared" ref="D103:L103" si="23">D104&amp;"(含)"&amp;"-"&amp;E104</f>
        <v>3000(含)-6000</v>
      </c>
      <c r="E103" s="708" t="str">
        <f t="shared" si="23"/>
        <v>6000(含)-50000</v>
      </c>
      <c r="F103" s="708" t="str">
        <f t="shared" si="23"/>
        <v>50000(含)-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v>0</v>
      </c>
      <c r="D104" s="730">
        <v>3000</v>
      </c>
      <c r="E104" s="730">
        <v>6000</v>
      </c>
      <c r="F104" s="730">
        <v>50000</v>
      </c>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v>100</v>
      </c>
      <c r="D105" s="671">
        <v>99.5</v>
      </c>
      <c r="E105" s="671">
        <v>99</v>
      </c>
      <c r="F105" s="671">
        <v>98.5</v>
      </c>
      <c r="G105" s="671">
        <v>98</v>
      </c>
      <c r="H105" s="671">
        <v>97.5</v>
      </c>
      <c r="I105" s="671">
        <v>97</v>
      </c>
      <c r="J105" s="671">
        <v>96.5</v>
      </c>
      <c r="K105" s="671">
        <v>96</v>
      </c>
      <c r="L105" s="671">
        <v>95.5</v>
      </c>
      <c r="M105" s="672">
        <v>95</v>
      </c>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3189" t="s">
        <v>3026</v>
      </c>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3189" t="s">
        <v>3028</v>
      </c>
      <c r="D108" s="3189" t="s">
        <v>3038</v>
      </c>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97</v>
      </c>
      <c r="E109" s="679">
        <f t="shared" si="25"/>
        <v>94</v>
      </c>
      <c r="F109" s="679">
        <f t="shared" si="25"/>
        <v>91</v>
      </c>
      <c r="G109" s="679">
        <f t="shared" si="25"/>
        <v>88</v>
      </c>
      <c r="H109" s="679">
        <f t="shared" si="25"/>
        <v>85</v>
      </c>
      <c r="I109" s="679">
        <f t="shared" si="25"/>
        <v>82</v>
      </c>
      <c r="J109" s="679">
        <f t="shared" si="25"/>
        <v>79</v>
      </c>
      <c r="K109" s="679">
        <f t="shared" si="25"/>
        <v>76</v>
      </c>
      <c r="L109" s="679">
        <f t="shared" si="25"/>
        <v>73</v>
      </c>
      <c r="M109" s="680">
        <f t="shared" si="25"/>
        <v>70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3189" t="s">
        <v>3030</v>
      </c>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3189" t="s">
        <v>3031</v>
      </c>
      <c r="D117" s="3189" t="s">
        <v>3032</v>
      </c>
      <c r="E117" s="3189" t="s">
        <v>3033</v>
      </c>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3193" t="s">
        <v>3035</v>
      </c>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3189" t="s">
        <v>3102</v>
      </c>
      <c r="D123" s="3189" t="s">
        <v>3036</v>
      </c>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dimension ref="A1"/>
  <sheetViews>
    <sheetView topLeftCell="A40" workbookViewId="0">
      <selection activeCell="A57" sqref="A57"/>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3" t="s">
        <v>2038</v>
      </c>
      <c r="B1" s="3213"/>
      <c r="C1" s="3213"/>
      <c r="D1" s="3213"/>
      <c r="E1" s="3213"/>
      <c r="F1" s="3213"/>
      <c r="G1" s="3213"/>
      <c r="H1" s="3213"/>
      <c r="I1" s="3213"/>
      <c r="J1" s="3213"/>
      <c r="K1" s="3213"/>
      <c r="L1" s="3213"/>
      <c r="M1" s="3213"/>
      <c r="N1" s="3213"/>
      <c r="O1" s="3213"/>
      <c r="P1" s="3213"/>
      <c r="Q1" s="3213"/>
      <c r="R1" s="3213"/>
    </row>
    <row r="2" spans="1:18">
      <c r="A2" s="1793" t="s">
        <v>2040</v>
      </c>
      <c r="B2" s="1793"/>
      <c r="C2" s="1793"/>
      <c r="D2" s="1793"/>
      <c r="E2" s="1793"/>
      <c r="F2" s="1793"/>
      <c r="G2" s="1793"/>
      <c r="H2" s="1793"/>
      <c r="I2" s="1794"/>
      <c r="J2" s="1794"/>
      <c r="K2" s="1795" t="str">
        <f>"估价期日："&amp;TEXT(项目基本情况!D3,"yyyy年m月d日;;")</f>
        <v>估价期日：2019年4月15日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4" t="s">
        <v>2029</v>
      </c>
      <c r="B3" s="3214" t="s">
        <v>2731</v>
      </c>
      <c r="C3" s="3215" t="s">
        <v>2030</v>
      </c>
      <c r="D3" s="3214" t="s">
        <v>2735</v>
      </c>
      <c r="E3" s="3217" t="s">
        <v>2031</v>
      </c>
      <c r="F3" s="3217"/>
      <c r="G3" s="3217"/>
      <c r="H3" s="3217" t="s">
        <v>2032</v>
      </c>
      <c r="I3" s="3217"/>
      <c r="J3" s="3217"/>
      <c r="K3" s="3215" t="s">
        <v>2033</v>
      </c>
      <c r="L3" s="3215" t="s">
        <v>2034</v>
      </c>
      <c r="M3" s="3214" t="s">
        <v>2732</v>
      </c>
      <c r="N3" s="3216" t="str">
        <f>"（分摊）"&amp;项目基本情况!B16&amp;"国有建设用地使用权面积/㎡"</f>
        <v>（分摊）出让国有建设用地使用权面积/㎡</v>
      </c>
      <c r="O3" s="3214" t="s">
        <v>2063</v>
      </c>
      <c r="P3" s="3215" t="s">
        <v>2043</v>
      </c>
      <c r="Q3" s="3215" t="s">
        <v>2064</v>
      </c>
      <c r="R3" s="3215" t="s">
        <v>2035</v>
      </c>
    </row>
    <row r="4" spans="1:18" ht="36.75" customHeight="1">
      <c r="A4" s="3214"/>
      <c r="B4" s="3214"/>
      <c r="C4" s="3215"/>
      <c r="D4" s="3214"/>
      <c r="E4" s="2614" t="s">
        <v>2042</v>
      </c>
      <c r="F4" s="2614" t="s">
        <v>2744</v>
      </c>
      <c r="G4" s="2614" t="s">
        <v>2036</v>
      </c>
      <c r="H4" s="2614" t="s">
        <v>2037</v>
      </c>
      <c r="I4" s="2614" t="s">
        <v>2745</v>
      </c>
      <c r="J4" s="2614" t="s">
        <v>2036</v>
      </c>
      <c r="K4" s="3215"/>
      <c r="L4" s="3215"/>
      <c r="M4" s="3214"/>
      <c r="N4" s="3216"/>
      <c r="O4" s="3214"/>
      <c r="P4" s="3215"/>
      <c r="Q4" s="3215"/>
      <c r="R4" s="3215"/>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12883</v>
      </c>
      <c r="O5" s="1796">
        <f>项目基本情况!C21</f>
        <v>53161</v>
      </c>
      <c r="P5" s="1796">
        <f ca="1">结果表!E42</f>
        <v>52360</v>
      </c>
      <c r="Q5" s="1796">
        <f ca="1">结果表!D42</f>
        <v>12689</v>
      </c>
      <c r="R5" s="1797">
        <f ca="1">结果表!C42</f>
        <v>67456</v>
      </c>
    </row>
    <row r="6" spans="1:18">
      <c r="A6" s="3210" t="str">
        <f>IF(项目基本情况!B9="市场价格","——","抵押价格")</f>
        <v>——</v>
      </c>
      <c r="B6" s="3211"/>
      <c r="C6" s="3211"/>
      <c r="D6" s="3211"/>
      <c r="E6" s="3211"/>
      <c r="F6" s="3211"/>
      <c r="G6" s="3211"/>
      <c r="H6" s="3211"/>
      <c r="I6" s="3211"/>
      <c r="J6" s="3211"/>
      <c r="K6" s="3211"/>
      <c r="L6" s="3211"/>
      <c r="M6" s="3211"/>
      <c r="N6" s="3211"/>
      <c r="O6" s="3211"/>
      <c r="P6" s="3211"/>
      <c r="Q6" s="3212"/>
      <c r="R6" s="1798" t="str">
        <f>结果表!O39</f>
        <v>——</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798" t="str">
        <f>结果表!O40</f>
        <v>——</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8" t="s">
        <v>2065</v>
      </c>
      <c r="B1" s="3218"/>
      <c r="C1" s="3218"/>
      <c r="D1" s="3218"/>
    </row>
    <row r="2" spans="1:4" ht="47.25" customHeight="1">
      <c r="A2" s="3222" t="str">
        <f>"1.权利限制："&amp;项目基本情况!L24&amp;"未设定租赁等其他他项权利。"</f>
        <v>1.权利限制：根据估价对象《不动产权证书》原件、《国有土地使用权》复印件，截至估价期日，估价对象抵押权未见登记。未设定租赁等其他他项权利。</v>
      </c>
      <c r="B2" s="3222"/>
      <c r="C2" s="3222"/>
      <c r="D2" s="3222"/>
    </row>
    <row r="3" spans="1:4" ht="48" customHeight="1">
      <c r="A3" s="32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21" t="s">
        <v>2066</v>
      </c>
      <c r="B5" s="3221"/>
      <c r="C5" s="3221"/>
      <c r="D5" s="3221"/>
    </row>
    <row r="6" spans="1:4">
      <c r="A6" s="3218" t="s">
        <v>2044</v>
      </c>
      <c r="B6" s="3218"/>
      <c r="C6" s="3218"/>
      <c r="D6" s="3218"/>
    </row>
    <row r="7" spans="1:4" ht="33" customHeight="1">
      <c r="A7" s="3218" t="s">
        <v>2575</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8"/>
      <c r="C8" s="3218"/>
      <c r="D8" s="3218"/>
    </row>
    <row r="9" spans="1:4" ht="33.75" customHeight="1">
      <c r="A9" s="3218" t="str">
        <f>IF(项目基本情况!B8="抵押","3.抵押双方在办理抵押登记手续时，应使用本公司出具的正式《土地估价报告》，特提请报告使用者注意。","——")</f>
        <v>——</v>
      </c>
      <c r="B9" s="3218"/>
      <c r="C9" s="3218"/>
      <c r="D9" s="3218"/>
    </row>
    <row r="10" spans="1:4">
      <c r="A10" s="3218" t="str">
        <f>IF(项目基本情况!B8="抵押","4.估价师所知悉的法定优先受偿款情况为：","——")</f>
        <v>——</v>
      </c>
      <c r="B10" s="3218"/>
      <c r="C10" s="3218"/>
      <c r="D10" s="3218"/>
    </row>
    <row r="11" spans="1:4" ht="37.5" customHeight="1">
      <c r="A11" s="3220" t="str">
        <f>IF(项目基本情况!B8="抵押","（1）"&amp;CONCATENATE(项目基本情况!L24,项目基本情况!L25,项目基本情况!L26),"——")</f>
        <v>——</v>
      </c>
      <c r="B11" s="3220"/>
      <c r="C11" s="3220"/>
      <c r="D11" s="3220"/>
    </row>
    <row r="12" spans="1:4" ht="168" customHeight="1">
      <c r="A12" s="3221" t="s">
        <v>2068</v>
      </c>
      <c r="B12" s="3221"/>
      <c r="C12" s="3221"/>
      <c r="D12" s="3221"/>
    </row>
    <row r="13" spans="1:4">
      <c r="A13" s="3219" t="s">
        <v>2746</v>
      </c>
      <c r="B13" s="3219"/>
      <c r="C13" s="3219"/>
      <c r="D13" s="3219"/>
    </row>
    <row r="14" spans="1:4">
      <c r="A14" s="3220" t="str">
        <f>IF(项目基本情况!B8="抵押","综上，"&amp;结果表!K47,"——")</f>
        <v>——</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2702</v>
      </c>
      <c r="B17" s="3218"/>
      <c r="C17" s="3218"/>
      <c r="D17" s="3218"/>
    </row>
    <row r="18" spans="1:4">
      <c r="A18" s="3218" t="s">
        <v>2694</v>
      </c>
      <c r="B18" s="3218"/>
      <c r="C18" s="3218"/>
      <c r="D18" s="3218"/>
    </row>
    <row r="19" spans="1:4">
      <c r="A19" s="2824" t="s">
        <v>2695</v>
      </c>
      <c r="B19" s="2824" t="s">
        <v>2696</v>
      </c>
      <c r="C19" s="2824" t="s">
        <v>2697</v>
      </c>
      <c r="D19" s="2824" t="s">
        <v>2698</v>
      </c>
    </row>
    <row r="20" spans="1:4">
      <c r="A20" s="2824" t="str">
        <f>项目基本情况!B4</f>
        <v>叶凌</v>
      </c>
      <c r="B20" s="2824">
        <f ca="1">项目基本情况!C4</f>
        <v>94010078</v>
      </c>
      <c r="C20" s="2826"/>
      <c r="D20" s="1786" t="s">
        <v>2703</v>
      </c>
    </row>
    <row r="21" spans="1:4">
      <c r="A21" s="2824" t="str">
        <f>项目基本情况!D4</f>
        <v>陈颖</v>
      </c>
      <c r="B21" s="2824">
        <f ca="1">项目基本情况!E4</f>
        <v>2004110096</v>
      </c>
      <c r="C21" s="2826"/>
      <c r="D21" s="1786" t="s">
        <v>2704</v>
      </c>
    </row>
    <row r="23" spans="1:4">
      <c r="A23" s="3218" t="s">
        <v>2699</v>
      </c>
      <c r="B23" s="3218"/>
      <c r="C23" s="3218"/>
      <c r="D23" s="3218"/>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0" t="s">
        <v>53</v>
      </c>
      <c r="B15" s="3231" t="s">
        <v>846</v>
      </c>
      <c r="C15" s="3227"/>
    </row>
    <row r="16" spans="1:7" ht="14.25">
      <c r="A16" s="3230"/>
      <c r="B16" s="3228" t="s">
        <v>54</v>
      </c>
      <c r="C16" s="1168" t="s">
        <v>53</v>
      </c>
    </row>
    <row r="17" spans="1:3" ht="14.25">
      <c r="A17" s="3230"/>
      <c r="B17" s="3228"/>
      <c r="C17" s="1168" t="s">
        <v>55</v>
      </c>
    </row>
    <row r="18" spans="1:3" ht="14.25">
      <c r="A18" s="3230"/>
      <c r="B18" s="3228"/>
      <c r="C18" s="1168" t="s">
        <v>56</v>
      </c>
    </row>
    <row r="19" spans="1:3" ht="14.25">
      <c r="A19" s="3230"/>
      <c r="B19" s="3226" t="s">
        <v>57</v>
      </c>
      <c r="C19" s="3227"/>
    </row>
    <row r="20" spans="1:3" ht="14.25">
      <c r="A20" s="1169" t="s">
        <v>58</v>
      </c>
      <c r="B20" s="1170"/>
      <c r="C20" s="1171"/>
    </row>
    <row r="21" spans="1:3" ht="14.25">
      <c r="A21" s="3229" t="s">
        <v>59</v>
      </c>
      <c r="B21" s="3226" t="s">
        <v>60</v>
      </c>
      <c r="C21" s="3227"/>
    </row>
    <row r="22" spans="1:3" ht="14.25">
      <c r="A22" s="3229"/>
      <c r="B22" s="3226" t="s">
        <v>61</v>
      </c>
      <c r="C22" s="3227"/>
    </row>
    <row r="23" spans="1:3" ht="14.25">
      <c r="A23" s="3229"/>
      <c r="B23" s="3226" t="s">
        <v>62</v>
      </c>
      <c r="C23" s="3227"/>
    </row>
    <row r="24" spans="1:3" ht="14.25">
      <c r="A24" s="3229"/>
      <c r="B24" s="3232" t="s">
        <v>63</v>
      </c>
      <c r="C24" s="1172" t="s">
        <v>837</v>
      </c>
    </row>
    <row r="25" spans="1:3" ht="14.25">
      <c r="A25" s="3229"/>
      <c r="B25" s="3233"/>
      <c r="C25" s="1172" t="s">
        <v>838</v>
      </c>
    </row>
    <row r="26" spans="1:3" ht="14.25">
      <c r="A26" s="3229"/>
      <c r="B26" s="3233"/>
      <c r="C26" s="1172" t="s">
        <v>839</v>
      </c>
    </row>
    <row r="27" spans="1:3" ht="14.25">
      <c r="A27" s="3229"/>
      <c r="B27" s="3233"/>
      <c r="C27" s="1172" t="s">
        <v>840</v>
      </c>
    </row>
    <row r="28" spans="1:3" ht="14.25">
      <c r="A28" s="3229"/>
      <c r="B28" s="3233"/>
      <c r="C28" s="1172" t="s">
        <v>841</v>
      </c>
    </row>
    <row r="29" spans="1:3" ht="14.25">
      <c r="A29" s="3229"/>
      <c r="B29" s="3233"/>
      <c r="C29" s="1172" t="s">
        <v>842</v>
      </c>
    </row>
    <row r="30" spans="1:3" ht="14.25">
      <c r="A30" s="3229"/>
      <c r="B30" s="3233"/>
      <c r="C30" s="1172" t="s">
        <v>843</v>
      </c>
    </row>
    <row r="31" spans="1:3" ht="14.25">
      <c r="A31" s="3229"/>
      <c r="B31" s="3233"/>
      <c r="C31" s="1172" t="s">
        <v>844</v>
      </c>
    </row>
    <row r="32" spans="1:3" ht="14.25">
      <c r="A32" s="3229"/>
      <c r="B32" s="3233"/>
      <c r="C32" s="1172" t="s">
        <v>1646</v>
      </c>
    </row>
    <row r="33" spans="1:3" ht="14.25">
      <c r="A33" s="3229"/>
      <c r="B33" s="3223" t="s">
        <v>1652</v>
      </c>
      <c r="C33" s="1172" t="s">
        <v>1647</v>
      </c>
    </row>
    <row r="34" spans="1:3" ht="14.25">
      <c r="A34" s="3229"/>
      <c r="B34" s="3224"/>
      <c r="C34" s="1177" t="s">
        <v>1648</v>
      </c>
    </row>
    <row r="35" spans="1:3" ht="14.25">
      <c r="A35" s="3229"/>
      <c r="B35" s="3224"/>
      <c r="C35" s="1178" t="s">
        <v>1649</v>
      </c>
    </row>
    <row r="36" spans="1:3" ht="14.25">
      <c r="A36" s="3229"/>
      <c r="B36" s="3224"/>
      <c r="C36" s="1178" t="s">
        <v>1650</v>
      </c>
    </row>
    <row r="37" spans="1:3" ht="14.25">
      <c r="A37" s="3229"/>
      <c r="B37" s="3225"/>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43632</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t="str">
        <f ca="1">IF(C10&lt;B2,"已过期",1120060040)</f>
        <v>已过期</v>
      </c>
      <c r="C10" s="3134">
        <v>43483</v>
      </c>
      <c r="D10" s="3132" t="s">
        <v>1920</v>
      </c>
      <c r="E10" s="3132">
        <f ca="1">IF(F10&lt;B2,"已过期",2004110096)</f>
        <v>2004110096</v>
      </c>
      <c r="F10" s="3135">
        <v>47118</v>
      </c>
    </row>
    <row r="11" spans="1:6" ht="20.25" customHeight="1">
      <c r="A11" s="3132" t="s">
        <v>1921</v>
      </c>
      <c r="B11" s="3132" t="str">
        <f ca="1">IF(C11&lt;B2,"已过期",1120100036)</f>
        <v>已过期</v>
      </c>
      <c r="C11" s="3134">
        <v>43622</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2979</v>
      </c>
      <c r="B14" s="3132">
        <f ca="1">IF(C14&lt;B2,"已过期",1120040230)</f>
        <v>1120040230</v>
      </c>
      <c r="C14" s="3136">
        <v>43835</v>
      </c>
      <c r="D14" s="3137" t="s">
        <v>2980</v>
      </c>
      <c r="E14" s="3132">
        <f ca="1">IF(F14&lt;B2,"已过期",98030020)</f>
        <v>98030020</v>
      </c>
      <c r="F14" s="3135">
        <v>47118</v>
      </c>
    </row>
    <row r="15" spans="1:6" ht="20.25" customHeight="1">
      <c r="A15" s="3132" t="s">
        <v>2574</v>
      </c>
      <c r="B15" s="3132">
        <f ca="1">IF(C15&lt;B2,"已过期",1120070085)</f>
        <v>1120070085</v>
      </c>
      <c r="C15" s="3136">
        <v>43814</v>
      </c>
      <c r="D15" s="3132" t="s">
        <v>2981</v>
      </c>
      <c r="E15" s="3132">
        <f ca="1">IF(F15&lt;B2,"已过期",2004110128)</f>
        <v>2004110128</v>
      </c>
      <c r="F15" s="3138">
        <v>47118</v>
      </c>
    </row>
    <row r="16" spans="1:6" ht="20.25" customHeight="1">
      <c r="A16" s="3132" t="s">
        <v>1923</v>
      </c>
      <c r="B16" s="3132">
        <f ca="1">IF(C16&lt;B2,"已过期",1120140022)</f>
        <v>1120140022</v>
      </c>
      <c r="C16" s="3134">
        <v>44029</v>
      </c>
      <c r="D16" s="3132" t="s">
        <v>2982</v>
      </c>
      <c r="E16" s="3132">
        <f ca="1">IF(F16&lt;B2,"已过期",2008110059)</f>
        <v>2008110059</v>
      </c>
      <c r="F16" s="3135">
        <v>47177</v>
      </c>
    </row>
    <row r="17" spans="1:7" ht="20.25" customHeight="1">
      <c r="A17" s="3132"/>
      <c r="B17" s="3132"/>
      <c r="C17" s="3134"/>
      <c r="D17" s="3137" t="s">
        <v>2983</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34" t="s">
        <v>1926</v>
      </c>
      <c r="B25" s="3234"/>
      <c r="C25" s="3234"/>
      <c r="D25" s="3234"/>
      <c r="E25" s="3234"/>
      <c r="F25" s="3234"/>
      <c r="G25" s="3234"/>
    </row>
    <row r="26" spans="1:7" ht="20.25" customHeight="1">
      <c r="A26" s="3235" t="s">
        <v>1927</v>
      </c>
      <c r="B26" s="3235"/>
      <c r="C26" s="3235"/>
      <c r="D26" s="3235" t="s">
        <v>1928</v>
      </c>
      <c r="E26" s="3235"/>
      <c r="F26" s="3235"/>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6" t="s">
        <v>2941</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2953</v>
      </c>
      <c r="C18" s="1541"/>
    </row>
    <row r="19" spans="1:3">
      <c r="A19" s="8" t="s">
        <v>120</v>
      </c>
      <c r="B19" s="3064" t="s">
        <v>2961</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丰台区吴家村首钢二通产业园区1615-615地块文化创意产业大厦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36"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15日，在规划利用条件下、设定土地开发程度为红线外“七通”、宗地内场地，设定用途为，剩余土地使用年限为的出让国有建设用地使用权价格。</v>
      </c>
      <c r="D53" s="1753"/>
      <c r="E53" s="1753"/>
    </row>
    <row r="54" spans="1:5">
      <c r="A54" s="3236"/>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6"/>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6"/>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6"/>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结果汇总</vt:lpstr>
      <vt:lpstr>剩余法-待开发</vt:lpstr>
      <vt:lpstr>剩余法-现房</vt:lpstr>
      <vt:lpstr>比较法-住宅、综合</vt:lpstr>
      <vt:lpstr>比较法-工业</vt:lpstr>
      <vt:lpstr>不动产收益法</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售价案例</vt:lpstr>
      <vt:lpstr>不动产比较法-办公</vt:lpstr>
      <vt:lpstr>出租案例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陈颖</cp:lastModifiedBy>
  <cp:lastPrinted>2017-03-09T08:11:21Z</cp:lastPrinted>
  <dcterms:created xsi:type="dcterms:W3CDTF">2015-07-13T07:17:23Z</dcterms:created>
  <dcterms:modified xsi:type="dcterms:W3CDTF">2019-06-16T13:13:39Z</dcterms:modified>
</cp:coreProperties>
</file>