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80"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57" i="39"/>
  <c r="G36" i="6"/>
  <c r="G37" i="6"/>
  <c r="F37" i="6"/>
  <c r="D14" i="9"/>
  <c r="J52" i="15"/>
  <c r="D37" i="43"/>
  <c r="D33" i="43"/>
  <c r="B57" i="1"/>
  <c r="B35" i="1"/>
  <c r="B21" i="1"/>
  <c r="Y6" i="1"/>
  <c r="G19" i="6"/>
  <c r="F19" i="6"/>
  <c r="D3" i="4"/>
  <c r="H37" i="6" l="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B73" i="43"/>
  <c r="C17" i="20"/>
  <c r="C19" i="39" s="1"/>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AB11" i="39" s="1"/>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s="1"/>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BL5" i="3" s="1"/>
  <c r="J56" i="9"/>
  <c r="J57" i="9" s="1"/>
  <c r="J59" i="9" s="1"/>
  <c r="J61" i="9" s="1"/>
  <c r="A24" i="51"/>
  <c r="B18" i="72"/>
  <c r="U29" i="34"/>
  <c r="E5" i="6"/>
  <c r="E32" i="6"/>
  <c r="G1" i="68"/>
  <c r="K1" i="12"/>
  <c r="E19" i="69"/>
  <c r="E1" i="73"/>
  <c r="C6" i="43"/>
  <c r="B19" i="53"/>
  <c r="B37" i="72" s="1"/>
  <c r="C7" i="39"/>
  <c r="C7" i="35"/>
  <c r="C7" i="33"/>
  <c r="C7" i="21"/>
  <c r="C7" i="40"/>
  <c r="C63" i="40" s="1"/>
  <c r="M47" i="9"/>
  <c r="G23" i="43"/>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D34" i="9"/>
  <c r="M9" i="15"/>
  <c r="C76" i="67"/>
  <c r="F13" i="15"/>
  <c r="F43" i="15"/>
  <c r="M29" i="15"/>
  <c r="M26" i="15"/>
  <c r="B11" i="76"/>
  <c r="F36" i="15"/>
  <c r="M22" i="15"/>
  <c r="F13" i="67"/>
  <c r="M8" i="67"/>
  <c r="D35" i="9"/>
  <c r="E13" i="76"/>
  <c r="B9" i="76"/>
  <c r="E8" i="76"/>
  <c r="M28" i="15"/>
  <c r="J15" i="15"/>
  <c r="D3" i="73"/>
  <c r="F7" i="73"/>
  <c r="F26" i="15"/>
  <c r="B12" i="76"/>
  <c r="E10" i="76"/>
  <c r="D7" i="73"/>
  <c r="F3" i="73"/>
  <c r="F40" i="15"/>
  <c r="F36" i="67"/>
  <c r="F16" i="67"/>
  <c r="M8" i="15"/>
  <c r="M23" i="67"/>
  <c r="F8" i="15"/>
  <c r="J15" i="67"/>
  <c r="B7" i="76"/>
  <c r="E2" i="68"/>
  <c r="L48" i="67"/>
  <c r="E9" i="76"/>
  <c r="F5" i="73"/>
  <c r="L48" i="15"/>
  <c r="D6" i="73"/>
  <c r="F9" i="15"/>
  <c r="M6" i="15"/>
  <c r="C76" i="15"/>
  <c r="F9" i="67"/>
  <c r="E11" i="76"/>
  <c r="M23" i="15"/>
  <c r="M24" i="67"/>
  <c r="F26" i="67"/>
  <c r="L47" i="15"/>
  <c r="F42" i="67"/>
  <c r="F42" i="15"/>
  <c r="C67" i="39" l="1"/>
  <c r="E7" i="39"/>
  <c r="G7" i="39" s="1"/>
  <c r="I7" i="39" s="1"/>
  <c r="S11" i="39"/>
  <c r="U11" i="39"/>
  <c r="AC38" i="39"/>
  <c r="U38" i="39"/>
  <c r="D50" i="43"/>
  <c r="H50" i="43"/>
  <c r="B68" i="43"/>
  <c r="F34" i="67"/>
  <c r="F62" i="67" s="1"/>
  <c r="F34" i="15"/>
  <c r="F62" i="15" s="1"/>
  <c r="C24" i="12"/>
  <c r="M18" i="67"/>
  <c r="F30" i="11"/>
  <c r="C48" i="11" s="1"/>
  <c r="M18" i="15"/>
  <c r="F32" i="15"/>
  <c r="F60" i="15" s="1"/>
  <c r="F52" i="9"/>
  <c r="D68" i="9"/>
  <c r="F30" i="69"/>
  <c r="F48" i="69" s="1"/>
  <c r="F31" i="12"/>
  <c r="F54" i="9"/>
  <c r="F30" i="68"/>
  <c r="F48" i="68" s="1"/>
  <c r="F28" i="15"/>
  <c r="F32" i="67"/>
  <c r="F60" i="67" s="1"/>
  <c r="F28" i="67"/>
  <c r="C40" i="69"/>
  <c r="E19" i="11"/>
  <c r="G22" i="11"/>
  <c r="G26" i="12"/>
  <c r="G22" i="68"/>
  <c r="G22" i="69"/>
  <c r="BA5" i="3"/>
  <c r="G5" i="3"/>
  <c r="B3" i="3" s="1"/>
  <c r="E348" i="3" s="1"/>
  <c r="E297" i="3"/>
  <c r="E240" i="3"/>
  <c r="E131" i="3"/>
  <c r="E57" i="3"/>
  <c r="E436" i="3"/>
  <c r="E520" i="3"/>
  <c r="E582" i="3"/>
  <c r="E500" i="3"/>
  <c r="E459" i="3"/>
  <c r="E416" i="3"/>
  <c r="E464" i="3"/>
  <c r="E421" i="3"/>
  <c r="AD6" i="3"/>
  <c r="E312" i="3"/>
  <c r="E149" i="3"/>
  <c r="E244" i="3"/>
  <c r="G28" i="6"/>
  <c r="A15" i="62"/>
  <c r="B61" i="72" s="1"/>
  <c r="A2" i="9"/>
  <c r="A4" i="52"/>
  <c r="B41" i="72" s="1"/>
  <c r="A118" i="9"/>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568" i="3"/>
  <c r="E461" i="3"/>
  <c r="E181" i="3"/>
  <c r="E136" i="3"/>
  <c r="E545" i="3"/>
  <c r="E352" i="3"/>
  <c r="AK6" i="3"/>
  <c r="E306" i="3"/>
  <c r="E228" i="3"/>
  <c r="E157"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P6" i="1" l="1"/>
  <c r="C13" i="12" s="1"/>
  <c r="E99" i="3"/>
  <c r="E511" i="3"/>
  <c r="E314" i="3"/>
  <c r="E85" i="3"/>
  <c r="E453" i="3"/>
  <c r="E253" i="3"/>
  <c r="E167" i="3"/>
  <c r="E542" i="3"/>
  <c r="E487" i="3"/>
  <c r="E374" i="3"/>
  <c r="E413" i="3"/>
  <c r="E39" i="3"/>
  <c r="E187" i="3"/>
  <c r="E259" i="3"/>
  <c r="E120" i="3"/>
  <c r="E262" i="3"/>
  <c r="E128" i="3"/>
  <c r="E434" i="3"/>
  <c r="E238" i="3"/>
  <c r="E156" i="3"/>
  <c r="E165" i="3"/>
  <c r="E141" i="3"/>
  <c r="E552" i="3"/>
  <c r="E398" i="3"/>
  <c r="E566" i="3"/>
  <c r="E460" i="3"/>
  <c r="E90" i="3"/>
  <c r="E155" i="3"/>
  <c r="E510"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51" i="3"/>
  <c r="E539" i="3"/>
  <c r="E296" i="3"/>
  <c r="E223" i="3"/>
  <c r="E199" i="3"/>
  <c r="E369" i="3"/>
  <c r="E493" i="3"/>
  <c r="R6" i="3"/>
  <c r="E405" i="3"/>
  <c r="E486" i="3"/>
  <c r="E541" i="3"/>
  <c r="E408" i="3"/>
  <c r="E490" i="3"/>
  <c r="I3" i="6"/>
  <c r="E497" i="3"/>
  <c r="E498" i="3"/>
  <c r="E435" i="3"/>
  <c r="E470" i="3"/>
  <c r="E463" i="3"/>
  <c r="E56" i="3"/>
  <c r="E41" i="3"/>
  <c r="E178" i="3"/>
  <c r="E132" i="3"/>
  <c r="E225" i="3"/>
  <c r="E226" i="3"/>
  <c r="E29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370" i="3"/>
  <c r="AF6" i="3"/>
  <c r="E102" i="3"/>
  <c r="E80" i="3"/>
  <c r="E113" i="3"/>
  <c r="E158" i="3"/>
  <c r="E287" i="3"/>
  <c r="E308" i="3"/>
  <c r="E326" i="3"/>
  <c r="E22" i="3"/>
  <c r="E83" i="3"/>
  <c r="E123" i="3"/>
  <c r="E205" i="3"/>
  <c r="E188" i="3"/>
  <c r="E212" i="3"/>
  <c r="E173" i="3"/>
  <c r="E393" i="3"/>
  <c r="E499" i="3"/>
  <c r="T6" i="3"/>
  <c r="E427" i="3"/>
  <c r="E466" i="3"/>
  <c r="E512" i="3"/>
  <c r="E440" i="3"/>
  <c r="E255" i="3"/>
  <c r="E556" i="3"/>
  <c r="J6" i="3"/>
  <c r="E517" i="3"/>
  <c r="E452" i="3"/>
  <c r="E401" i="3"/>
  <c r="E479" i="3"/>
  <c r="E104" i="3"/>
  <c r="E108" i="3"/>
  <c r="E152" i="3"/>
  <c r="E139" i="3"/>
  <c r="E242" i="3"/>
  <c r="E241" i="3"/>
  <c r="E33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60" i="3"/>
  <c r="E26" i="3"/>
  <c r="E95" i="3"/>
  <c r="E202" i="3"/>
  <c r="E243" i="3"/>
  <c r="E333" i="3"/>
  <c r="L6" i="3"/>
  <c r="E43" i="3"/>
  <c r="E540" i="3"/>
  <c r="E15" i="3"/>
  <c r="E79" i="3"/>
  <c r="E100" i="3"/>
  <c r="E137" i="3"/>
  <c r="E234" i="3"/>
  <c r="E299" i="3"/>
  <c r="E325" i="3"/>
  <c r="E392" i="3"/>
  <c r="E36" i="3"/>
  <c r="E147" i="3"/>
  <c r="E16" i="3"/>
  <c r="E148" i="3"/>
  <c r="E197" i="3"/>
  <c r="E105" i="3"/>
  <c r="E575" i="3"/>
  <c r="E534" i="3"/>
  <c r="E543" i="3"/>
  <c r="E442" i="3"/>
  <c r="E469" i="3"/>
  <c r="E422" i="3"/>
  <c r="E449" i="3"/>
  <c r="AH6" i="3"/>
  <c r="E554" i="3"/>
  <c r="E494" i="3"/>
  <c r="E483" i="3"/>
  <c r="E417" i="3"/>
  <c r="E25" i="3"/>
  <c r="E198" i="3"/>
  <c r="E258" i="3"/>
  <c r="E346" i="3"/>
  <c r="E372" i="3"/>
  <c r="E60" i="3"/>
  <c r="E473" i="3"/>
  <c r="E455" i="3"/>
  <c r="E38" i="3"/>
  <c r="E170" i="3"/>
  <c r="E194" i="3"/>
  <c r="E219" i="3"/>
  <c r="E339" i="3"/>
  <c r="AQ6" i="3"/>
  <c r="E52" i="3"/>
  <c r="E112" i="3"/>
  <c r="E289" i="3"/>
  <c r="E364" i="3"/>
  <c r="E176" i="3"/>
  <c r="E524" i="3"/>
  <c r="E50" i="3"/>
  <c r="E101" i="3"/>
  <c r="E218" i="3"/>
  <c r="E20" i="3"/>
  <c r="E265" i="3"/>
  <c r="E340" i="3"/>
  <c r="E365" i="3"/>
  <c r="E6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C20" i="68"/>
  <c r="C28" i="68" s="1"/>
  <c r="C27" i="68"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C25" i="68" l="1"/>
  <c r="C22" i="68" s="1"/>
  <c r="C31" i="68"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0" i="1"/>
  <c r="AO11"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D22" i="9"/>
  <c r="G19" i="9"/>
  <c r="B6" i="70"/>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G21" i="9"/>
  <c r="I37" i="6"/>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I118" i="9" l="1"/>
  <c r="I4" i="52" s="1"/>
  <c r="D119" i="9"/>
  <c r="D5" i="52" s="1"/>
  <c r="B49" i="72" s="1"/>
  <c r="H101" i="9"/>
  <c r="D14" i="74" s="1"/>
  <c r="G14" i="74" s="1"/>
  <c r="B6" i="74" s="1"/>
  <c r="D6" i="74" s="1"/>
  <c r="F119" i="9"/>
  <c r="F5" i="52" s="1"/>
  <c r="B53" i="72" s="1"/>
  <c r="C104" i="9"/>
  <c r="C105" i="9"/>
  <c r="H4" i="52"/>
  <c r="G118" i="9"/>
  <c r="G4" i="52" s="1"/>
  <c r="B52" i="72" s="1"/>
  <c r="H102" i="9"/>
  <c r="D45" i="9" l="1"/>
  <c r="E14" i="74"/>
  <c r="F14" i="74"/>
  <c r="B5" i="74"/>
  <c r="D5" i="74" s="1"/>
  <c r="M48" i="9"/>
  <c r="D5" i="53"/>
  <c r="H107" i="9"/>
  <c r="H108" i="9" s="1"/>
  <c r="E118" i="9"/>
  <c r="E4" i="52" s="1"/>
  <c r="B48" i="72" s="1"/>
  <c r="D7" i="53"/>
  <c r="B21" i="72" s="1"/>
  <c r="D53" i="9"/>
  <c r="C93" i="9"/>
  <c r="C86" i="9" s="1"/>
  <c r="C72" i="9"/>
  <c r="C85" i="9"/>
  <c r="D55" i="9"/>
  <c r="M53" i="9" s="1"/>
  <c r="C78" i="9"/>
  <c r="C73" i="9" s="1"/>
  <c r="D52" i="9"/>
  <c r="C64" i="9"/>
  <c r="C63" i="9" s="1"/>
  <c r="C67" i="9" s="1"/>
  <c r="C79" i="9" l="1"/>
  <c r="C95" i="9"/>
  <c r="C96" i="9" s="1"/>
  <c r="E96" i="9" s="1"/>
  <c r="E97" i="9" s="1"/>
  <c r="C5" i="74"/>
  <c r="M49" i="9"/>
  <c r="D122" i="9"/>
  <c r="D13" i="53"/>
  <c r="B20" i="72"/>
  <c r="D6" i="53"/>
  <c r="B22" i="72" s="1"/>
  <c r="D15" i="53"/>
  <c r="B31" i="72" s="1"/>
  <c r="C6" i="74"/>
  <c r="D59" i="9"/>
  <c r="M55" i="9" s="1"/>
  <c r="C68" i="9"/>
  <c r="D54" i="9" s="1"/>
  <c r="C80" i="9"/>
  <c r="E80" i="9" s="1"/>
  <c r="E81" i="9" s="1"/>
  <c r="B30" i="72" l="1"/>
  <c r="D14" i="53"/>
  <c r="B32" i="72" s="1"/>
  <c r="D123" i="9"/>
  <c r="D9" i="52" s="1"/>
  <c r="D8" i="52"/>
  <c r="L66" i="9"/>
  <c r="M66" i="9" s="1"/>
  <c r="L64" i="9"/>
  <c r="M64" i="9" s="1"/>
  <c r="L63" i="9"/>
  <c r="M63" i="9" s="1"/>
  <c r="L65" i="9"/>
  <c r="M65" i="9" s="1"/>
  <c r="L68" i="9"/>
  <c r="M68" i="9" s="1"/>
  <c r="L67" i="9"/>
  <c r="M67" i="9" s="1"/>
  <c r="C81" i="9"/>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<sst xmlns="http://schemas.openxmlformats.org/spreadsheetml/2006/main" count="8510" uniqueCount="3634">
  <si>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</si>
  <si>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</si>
  <si>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</si>
  <si>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</si>
  <si>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</si>
  <si>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</si>
  <si>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</si>
  <si>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</si>
  <si>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</si>
  <si>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</si>
  <si>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</si>
  <si>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</si>
  <si>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</si>
  <si>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</si>
  <si>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</si>
  <si>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</si>
  <si>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</si>
  <si>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</si>
  <si>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</si>
  <si>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</si>
  <si>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</si>
  <si>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</si>
  <si>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</si>
  <si>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</si>
  <si>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</si>
  <si>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</si>
  <si>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</si>
  <si>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</si>
  <si>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</si>
  <si>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</si>
  <si>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</si>
  <si>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</si>
  <si>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</si>
  <si>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</si>
  <si>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</si>
  <si>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</si>
  <si>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</si>
  <si>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</si>
  <si>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</si>
  <si>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</si>
  <si>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</si>
  <si>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</si>
  <si>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</si>
  <si>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</si>
  <si>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</si>
  <si>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</si>
  <si>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</si>
  <si>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</si>
  <si>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</si>
  <si>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</si>
  <si>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</si>
  <si>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</si>
  <si>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</si>
  <si>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</si>
  <si>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</si>
  <si>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</si>
  <si>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</si>
  <si>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</si>
  <si>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</si>
  <si>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</si>
  <si>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</si>
  <si>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</si>
  <si>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</si>
  <si>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</si>
  <si>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</si>
  <si>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</si>
  <si>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</si>
  <si>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</si>
  <si>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</si>
  <si>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</si>
  <si>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</si>
  <si>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</si>
  <si>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</si>
  <si>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</si>
  <si>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</si>
  <si>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</si>
  <si>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</si>
  <si>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</si>
  <si>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</si>
  <si>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</si>
  <si>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</si>
  <si>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</si>
  <si>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</si>
  <si>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</si>
  <si>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</si>
  <si>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</si>
  <si>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</si>
  <si>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</si>
  <si>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</si>
  <si>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</si>
  <si>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</si>
  <si>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</si>
  <si>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</si>
  <si>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</si>
  <si>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</si>
  <si>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</si>
  <si>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</si>
  <si>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</si>
  <si>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</si>
  <si>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</si>
  <si>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</si>
  <si>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</si>
  <si>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</si>
  <si>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</si>
  <si>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</si>
  <si>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</si>
  <si>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</si>
  <si>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</si>
  <si>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</si>
  <si>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</si>
  <si>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</si>
  <si>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</si>
  <si>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</si>
  <si>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</si>
  <si>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</si>
  <si>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</si>
  <si>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</si>
  <si>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</si>
  <si>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</si>
  <si>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</si>
  <si>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</si>
  <si>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</si>
  <si>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</si>
  <si>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</si>
  <si>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</si>
  <si>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</si>
  <si>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</si>
  <si>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</si>
  <si>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</si>
  <si>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</si>
  <si>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</si>
  <si>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</si>
  <si>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</si>
  <si>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</si>
  <si>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</si>
  <si>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</si>
  <si>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</si>
  <si>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</si>
  <si>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</si>
  <si>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</si>
  <si>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</si>
  <si>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</si>
  <si>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</si>
  <si>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</si>
  <si>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</si>
  <si>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</si>
  <si>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</si>
  <si>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</si>
  <si>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</si>
  <si>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</si>
  <si>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</si>
  <si>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</si>
  <si>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</si>
  <si>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</si>
  <si>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</si>
  <si>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</si>
  <si>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</si>
  <si>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</si>
  <si>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</si>
  <si>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</si>
  <si>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</si>
  <si>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</si>
  <si>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</si>
  <si>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</si>
  <si>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</si>
  <si>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</si>
  <si>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</si>
  <si>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</si>
  <si>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</si>
  <si>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</si>
  <si>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</si>
  <si>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</si>
  <si>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</si>
  <si>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</si>
  <si>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</si>
  <si>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</si>
  <si>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</si>
  <si>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</si>
  <si>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</si>
  <si>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</si>
  <si>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</si>
  <si>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</si>
  <si>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</si>
  <si>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</si>
  <si>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</si>
  <si>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</si>
  <si>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</si>
  <si>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</si>
  <si>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</si>
  <si>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</si>
  <si>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</si>
  <si>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</si>
  <si>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</si>
  <si>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</si>
  <si>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</si>
  <si>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</si>
  <si>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</si>
  <si>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</si>
  <si>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</si>
  <si>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</si>
  <si>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</si>
  <si>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</si>
  <si>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</si>
  <si>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</si>
  <si>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</si>
  <si>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</si>
  <si>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</si>
  <si>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</si>
  <si>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</si>
  <si>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</si>
  <si>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</si>
  <si>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</si>
  <si>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</si>
  <si>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</si>
  <si>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</si>
  <si>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</si>
  <si>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</si>
  <si>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</si>
  <si>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</si>
  <si>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</si>
  <si>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</si>
  <si>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</si>
  <si>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</si>
  <si>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</si>
  <si>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</si>
  <si>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</si>
  <si>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</si>
  <si>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</si>
  <si>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</si>
  <si>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</si>
  <si>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</si>
  <si>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</si>
  <si>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</si>
  <si>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</si>
  <si>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</si>
  <si>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</si>
  <si>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</si>
  <si>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</si>
  <si>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</si>
  <si>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</si>
  <si>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</si>
  <si>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</si>
  <si>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</si>
  <si>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</si>
  <si>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</si>
  <si>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</si>
  <si>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</si>
  <si>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</si>
  <si>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</si>
  <si>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</si>
  <si>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</si>
  <si>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</si>
  <si>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</si>
  <si>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</si>
  <si>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</si>
  <si>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</si>
  <si>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</si>
  <si>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</si>
  <si>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</si>
  <si>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</si>
  <si>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</si>
  <si>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</si>
  <si>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</si>
  <si>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</si>
  <si>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</si>
  <si>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</si>
  <si>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</si>
  <si>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</si>
  <si>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</si>
  <si>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</si>
  <si>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</si>
  <si>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</si>
  <si>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</si>
  <si>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</si>
  <si>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</si>
  <si>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</si>
  <si>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</si>
  <si>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</si>
  <si>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</si>
  <si>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</si>
  <si>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</si>
  <si>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</si>
  <si>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</si>
  <si>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</si>
  <si>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</si>
  <si>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</si>
  <si>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</si>
  <si>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</si>
  <si>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</si>
  <si>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</si>
  <si>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</si>
  <si>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</si>
  <si>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</si>
  <si>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</si>
  <si>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</si>
  <si>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</si>
  <si>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</si>
  <si>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</si>
  <si>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</si>
  <si>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</si>
  <si>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</si>
  <si>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</si>
  <si>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</si>
  <si>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</si>
  <si>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</si>
  <si>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</si>
  <si>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</si>
  <si>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</si>
  <si>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</si>
  <si>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</si>
  <si>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</si>
  <si>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</si>
  <si>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</si>
  <si>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</si>
  <si>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</si>
  <si>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</si>
  <si>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</si>
  <si>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</si>
  <si>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</si>
  <si>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</si>
  <si>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</si>
  <si>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</si>
  <si>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</si>
  <si>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</si>
  <si>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</si>
  <si>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</si>
  <si>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</si>
  <si>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</si>
  <si>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</si>
  <si>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</si>
  <si>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</si>
  <si>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</si>
  <si>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</si>
  <si>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</si>
  <si>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</si>
  <si>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</si>
  <si>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</si>
  <si>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</si>
  <si>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</si>
  <si>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</si>
  <si>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</si>
  <si>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</si>
  <si>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</si>
  <si>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</si>
  <si>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</si>
  <si>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</si>
  <si>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</si>
  <si>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</si>
  <si>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</si>
  <si>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</si>
  <si>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</si>
  <si>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</si>
  <si>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</si>
  <si>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</si>
  <si>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</si>
  <si>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</si>
  <si>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</si>
  <si>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</si>
  <si>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</si>
  <si>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</si>
  <si>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</si>
  <si>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</si>
  <si>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</si>
  <si>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</si>
  <si>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</si>
  <si>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</si>
  <si>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</si>
  <si>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</si>
  <si>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</si>
  <si>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</si>
  <si>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</si>
  <si>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</si>
  <si>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</si>
  <si>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</si>
  <si>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</si>
  <si>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</si>
  <si>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</si>
  <si>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</si>
  <si>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</si>
  <si>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</si>
  <si>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</si>
  <si>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</si>
  <si>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</si>
  <si>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</si>
  <si>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</si>
  <si>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</si>
  <si>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</si>
  <si>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</si>
  <si>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</si>
  <si>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</si>
  <si>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</si>
  <si>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</si>
  <si>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</si>
  <si>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</si>
  <si>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</si>
  <si>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</si>
  <si>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</si>
  <si>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</si>
  <si>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</si>
  <si>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</si>
  <si>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</si>
  <si>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</si>
  <si>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</si>
  <si>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</si>
  <si>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</si>
  <si>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</si>
  <si>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</si>
  <si>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</si>
  <si>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</si>
  <si>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</si>
  <si>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</si>
  <si>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</si>
  <si>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</si>
  <si>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</si>
  <si>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</si>
  <si>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</si>
  <si>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</si>
  <si>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</si>
  <si>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</si>
  <si>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</si>
  <si>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</si>
  <si>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</si>
  <si>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</si>
  <si>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</si>
  <si>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</si>
  <si>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</si>
  <si>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</si>
  <si>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</si>
  <si>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</si>
  <si>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</si>
  <si>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</si>
  <si>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</si>
  <si>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</si>
  <si>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</si>
  <si>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</si>
  <si>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</si>
  <si>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</si>
  <si>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</si>
  <si>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</si>
  <si>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</si>
  <si>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</si>
  <si>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</si>
  <si>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</si>
  <si>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</si>
  <si>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</si>
  <si>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</si>
  <si>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</si>
  <si>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</si>
  <si>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</si>
  <si>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</si>
  <si>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</si>
  <si>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</si>
  <si>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</si>
  <si>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</si>
  <si>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</si>
  <si>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</si>
  <si>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</si>
  <si>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</si>
  <si>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</si>
  <si>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</si>
  <si>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</si>
  <si>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</si>
  <si>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</si>
  <si>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</si>
  <si>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</si>
  <si>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</si>
  <si>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</si>
  <si>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</si>
  <si>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</si>
  <si>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</si>
  <si>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</si>
  <si>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</si>
  <si>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</si>
  <si>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</si>
  <si>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</si>
  <si>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</si>
  <si>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</si>
  <si>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</si>
  <si>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</si>
  <si>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</si>
  <si>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</si>
  <si>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</si>
  <si>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</si>
  <si>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</si>
  <si>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</si>
  <si>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</si>
  <si>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</si>
  <si>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</si>
  <si>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</si>
  <si>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</si>
  <si>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</si>
  <si>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</si>
  <si>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</si>
  <si>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</si>
  <si>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</si>
  <si>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</si>
  <si>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</si>
  <si>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</si>
  <si>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</si>
  <si>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</si>
  <si>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</si>
  <si>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</si>
  <si>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</si>
  <si>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</si>
  <si>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</si>
  <si>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</si>
  <si>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</si>
  <si>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</si>
  <si>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</si>
  <si>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</si>
  <si>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</si>
  <si>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</si>
  <si>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</si>
  <si>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</si>
  <si>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</si>
  <si>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</si>
  <si>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</si>
  <si>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</si>
  <si>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</si>
  <si>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</si>
  <si>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</si>
  <si>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</si>
  <si>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</si>
  <si>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</si>
  <si>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</si>
  <si>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</si>
  <si>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</si>
  <si>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</si>
  <si>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</si>
  <si>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</si>
  <si>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</si>
  <si>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</si>
  <si>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</si>
  <si>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</si>
  <si>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</si>
  <si>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</si>
  <si>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</si>
  <si>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</si>
  <si>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</si>
  <si>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</si>
  <si>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</si>
  <si>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</si>
  <si>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</si>
  <si>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</si>
  <si>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</si>
  <si>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</si>
  <si>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</si>
  <si>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</si>
  <si>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</si>
  <si>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</si>
  <si>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</si>
  <si>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</si>
  <si>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</si>
  <si>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</si>
  <si>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</si>
  <si>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</si>
  <si>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</si>
  <si>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</si>
  <si>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</si>
  <si>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</si>
  <si>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</si>
  <si>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</si>
  <si>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</si>
  <si>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</si>
  <si>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</si>
  <si>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</si>
  <si>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</si>
  <si>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</si>
  <si>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</si>
  <si>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</si>
  <si>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</si>
  <si>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</si>
  <si>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</si>
  <si>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</si>
  <si>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</si>
  <si>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</si>
  <si>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</si>
  <si>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</si>
  <si>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</si>
  <si>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</si>
  <si>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</si>
  <si>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</si>
  <si>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</si>
  <si>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</si>
  <si>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</si>
  <si>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</si>
  <si>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</si>
  <si>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</si>
  <si>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</si>
  <si>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</si>
  <si>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</si>
  <si>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</si>
  <si>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</si>
  <si>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</si>
  <si>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</si>
  <si>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</si>
  <si>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</si>
  <si>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</si>
  <si>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</si>
  <si>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</si>
  <si>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</si>
  <si>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</si>
  <si>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</si>
  <si>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</si>
  <si>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</si>
  <si>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</si>
  <si>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</si>
  <si>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</si>
  <si>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</si>
  <si>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</si>
  <si>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</si>
  <si>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</si>
  <si>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</si>
  <si>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</si>
  <si>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</si>
  <si>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</si>
  <si>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</si>
  <si>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</si>
  <si>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</si>
  <si>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</si>
  <si>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</si>
  <si>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</si>
  <si>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</si>
  <si>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</si>
  <si>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</si>
  <si>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</si>
  <si>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</si>
  <si>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</si>
  <si>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</si>
  <si>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</si>
  <si>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</si>
  <si>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</si>
  <si>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</si>
  <si>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</si>
  <si>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</si>
  <si>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</si>
  <si>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</si>
  <si>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</si>
  <si>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</si>
  <si>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</si>
  <si>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</si>
  <si>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</si>
  <si>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</si>
  <si>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</si>
  <si>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</si>
  <si>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</si>
  <si>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</si>
  <si>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</si>
  <si>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</si>
  <si>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</si>
  <si>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</si>
  <si>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</si>
  <si>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</si>
  <si>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</si>
  <si>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</si>
  <si>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</si>
  <si>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</si>
  <si>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</si>
  <si>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</si>
  <si>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</si>
  <si>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</si>
  <si>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</si>
  <si>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</si>
  <si>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</si>
  <si>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</si>
  <si>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</si>
  <si>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</si>
  <si>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</si>
  <si>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</si>
  <si>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</si>
  <si>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</si>
  <si>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</si>
  <si>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</si>
  <si>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</si>
  <si>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</si>
  <si>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</si>
  <si>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</si>
  <si>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</si>
  <si>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</si>
  <si>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</si>
  <si>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</si>
  <si>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</si>
  <si>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</si>
  <si>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</si>
  <si>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</si>
  <si>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</si>
  <si>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</si>
  <si>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</si>
  <si>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</si>
  <si>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</si>
  <si>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</si>
  <si>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</si>
  <si>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</si>
  <si>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</si>
  <si>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</si>
  <si>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</si>
  <si>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</si>
  <si>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</si>
  <si>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</si>
  <si>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</si>
  <si>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</si>
  <si>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</si>
  <si>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</si>
  <si>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</si>
  <si>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</si>
  <si>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</si>
  <si>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</si>
  <si>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</si>
  <si>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</si>
  <si>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</si>
  <si>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</si>
  <si>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</si>
  <si>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</si>
  <si>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</si>
  <si>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</si>
  <si>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</si>
  <si>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</si>
  <si>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</si>
  <si>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</si>
  <si>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</si>
  <si>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</si>
  <si>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</si>
  <si>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</si>
  <si>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</si>
  <si>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</si>
  <si>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</si>
  <si>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</si>
  <si>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</si>
  <si>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</si>
  <si>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</si>
  <si>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</si>
  <si>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</si>
  <si>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</si>
  <si>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</si>
  <si>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</si>
  <si>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</si>
  <si>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</si>
  <si>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</si>
  <si>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</si>
  <si>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</si>
  <si>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</si>
  <si>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</si>
  <si>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</si>
  <si>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</si>
  <si>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</si>
  <si>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</si>
  <si>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</si>
  <si>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</si>
  <si>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</si>
  <si>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</si>
  <si>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</si>
  <si>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</si>
  <si>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</si>
  <si>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</si>
  <si>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</si>
  <si>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</si>
  <si>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</si>
  <si>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</si>
  <si>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</si>
  <si>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</si>
  <si>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</si>
  <si>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</si>
  <si>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</si>
  <si>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</si>
  <si>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</si>
  <si>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</si>
  <si>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</si>
  <si>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</si>
  <si>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</si>
  <si>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</si>
  <si>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</si>
  <si>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</si>
  <si>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</si>
  <si>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</si>
  <si>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</si>
  <si>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</si>
  <si>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</si>
  <si>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</si>
  <si>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</si>
  <si>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</si>
  <si>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</si>
  <si>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</si>
  <si>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</si>
  <si>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</si>
  <si>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</si>
  <si>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</si>
  <si>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</si>
  <si>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</si>
  <si>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</si>
  <si>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</si>
  <si>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</si>
  <si>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</si>
  <si>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</si>
  <si>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</si>
  <si>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</si>
  <si>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</si>
  <si>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</si>
  <si>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</si>
  <si>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</si>
  <si>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</si>
  <si>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</si>
  <si>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</si>
  <si>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</si>
  <si>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</si>
  <si>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</si>
  <si>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</si>
  <si>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</si>
  <si>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</si>
  <si>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</si>
  <si>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</si>
  <si>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</si>
  <si>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</si>
  <si>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</si>
  <si>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</si>
  <si>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</si>
  <si>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</si>
  <si>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</si>
  <si>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</si>
  <si>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</si>
  <si>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</si>
  <si>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</si>
  <si>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</si>
  <si>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</si>
  <si>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</si>
  <si>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</si>
  <si>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</si>
  <si>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</si>
  <si>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</si>
  <si>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</si>
  <si>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</si>
  <si>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</si>
  <si>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</si>
  <si>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</si>
  <si>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</si>
  <si>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</si>
  <si>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</si>
  <si>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</si>
  <si>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</si>
  <si>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</si>
  <si>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</si>
  <si>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</si>
  <si>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</si>
  <si>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</si>
  <si>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</si>
  <si>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</si>
  <si>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</si>
  <si>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</si>
  <si>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</si>
  <si>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</si>
  <si>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</si>
  <si>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</si>
  <si>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</si>
  <si>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</si>
  <si>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</si>
  <si>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</si>
  <si>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</si>
  <si>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</si>
  <si>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</si>
  <si>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</si>
  <si>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</si>
  <si>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</si>
  <si>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</si>
  <si>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</si>
  <si>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</si>
  <si>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</si>
  <si>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</si>
  <si>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</si>
  <si>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</si>
  <si>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</si>
  <si>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</si>
  <si>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</si>
  <si>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</si>
  <si>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</si>
  <si>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</si>
  <si>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</si>
  <si>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</si>
  <si>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</si>
  <si>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</si>
  <si>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</si>
  <si>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</si>
  <si>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</si>
  <si>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</si>
  <si>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</si>
  <si>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</si>
  <si>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</si>
  <si>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</si>
  <si>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</si>
  <si>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</si>
  <si>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</si>
  <si>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</si>
  <si>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</si>
  <si>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</si>
  <si>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</si>
  <si>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</si>
  <si>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</si>
  <si>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</si>
  <si>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</si>
  <si>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</si>
  <si>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</si>
  <si>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</si>
  <si>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</si>
  <si>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</si>
  <si>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</si>
  <si>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</si>
  <si>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</si>
  <si>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</si>
  <si>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</si>
  <si>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</si>
  <si>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</si>
  <si>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</si>
  <si>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</si>
  <si>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</si>
  <si>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</si>
  <si>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</si>
  <si>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</si>
  <si>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</si>
  <si>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</si>
  <si>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</si>
  <si>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</si>
  <si>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</si>
  <si>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</si>
  <si>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</si>
  <si>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</si>
  <si>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</si>
  <si>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</si>
  <si>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</si>
  <si>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</si>
  <si>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</si>
  <si>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</si>
  <si>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</si>
  <si>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</si>
  <si>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</si>
  <si>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</si>
  <si>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</si>
  <si>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</si>
  <si>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</si>
  <si>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</si>
  <si>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</si>
  <si>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</si>
  <si>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</si>
  <si>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</si>
  <si>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</si>
  <si>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</si>
  <si>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</si>
  <si>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</si>
  <si>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</si>
  <si>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</si>
  <si>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</si>
  <si>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</si>
  <si>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</si>
  <si>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</si>
  <si>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</si>
  <si>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</si>
  <si>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</si>
  <si>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</si>
  <si>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</si>
  <si>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</si>
  <si>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</si>
  <si>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</si>
  <si>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</si>
  <si>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</si>
  <si>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</si>
  <si>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</si>
  <si>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</si>
  <si>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</si>
  <si>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</si>
  <si>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</si>
  <si>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</si>
  <si>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</si>
  <si>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</si>
  <si>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</si>
  <si>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</si>
  <si>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</si>
  <si>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</si>
  <si>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</si>
  <si>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</si>
  <si>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</si>
  <si>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</si>
  <si>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</si>
  <si>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</si>
  <si>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</si>
  <si>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</si>
  <si>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</si>
  <si>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</si>
  <si>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</si>
  <si>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</si>
  <si>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</si>
  <si>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</si>
  <si>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</si>
  <si>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</si>
  <si>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</si>
  <si>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</si>
  <si>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</si>
  <si>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</si>
  <si>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</si>
  <si>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</si>
  <si>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</si>
  <si>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</si>
  <si>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</si>
  <si>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</si>
  <si>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</si>
  <si>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</si>
  <si>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</si>
  <si>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</si>
  <si>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</si>
  <si>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</si>
  <si>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</si>
  <si>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</si>
  <si>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</si>
  <si>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</si>
  <si>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</si>
  <si>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</si>
  <si>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</si>
  <si>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</si>
  <si>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</si>
  <si>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</si>
  <si>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</si>
  <si>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</si>
  <si>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</si>
  <si>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</si>
  <si>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</si>
  <si>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</si>
  <si>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</si>
  <si>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</si>
  <si>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</si>
  <si>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</si>
  <si>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</si>
  <si>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</si>
  <si>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</si>
  <si>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</si>
  <si>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</si>
  <si>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</si>
  <si>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</si>
  <si>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</si>
  <si>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</si>
  <si>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</si>
  <si>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</si>
  <si>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</si>
  <si>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</si>
  <si>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</si>
  <si>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</si>
  <si>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</si>
  <si>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</si>
  <si>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</si>
  <si>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</si>
  <si>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</si>
  <si>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</si>
  <si>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</si>
  <si>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</si>
  <si>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</si>
  <si>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</si>
  <si>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</si>
  <si>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</si>
  <si>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</si>
  <si>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</si>
  <si>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</si>
  <si>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</si>
  <si>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</si>
  <si>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</si>
  <si>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</si>
  <si>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</si>
  <si>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</si>
  <si>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</si>
  <si>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</si>
  <si>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</si>
  <si>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</si>
  <si>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</si>
  <si>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</si>
  <si>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</si>
  <si>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</si>
  <si>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</si>
  <si>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</si>
  <si>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</si>
  <si>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</si>
  <si>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</si>
  <si>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</si>
  <si>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</si>
  <si>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</si>
  <si>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</si>
  <si>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</si>
  <si>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</si>
  <si>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</si>
  <si>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</si>
  <si>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</si>
  <si>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</si>
  <si>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</si>
  <si>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</si>
  <si>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</si>
  <si>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</si>
  <si>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</si>
  <si>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</si>
  <si>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</si>
  <si>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</si>
  <si>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</si>
  <si>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</si>
  <si>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</si>
  <si>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</si>
  <si>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</si>
  <si>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</si>
  <si>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</si>
  <si>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</si>
  <si>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</si>
  <si>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</si>
  <si>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</si>
  <si>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</si>
  <si>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</si>
  <si>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</si>
  <si>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</si>
  <si>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</si>
  <si>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</si>
  <si>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</si>
  <si>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</si>
  <si>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</si>
  <si>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</si>
  <si>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</si>
  <si>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</si>
  <si>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</si>
  <si>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</si>
  <si>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</si>
  <si>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</si>
  <si>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</si>
  <si>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</si>
  <si>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</si>
  <si>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</si>
  <si>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</si>
  <si>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</si>
  <si>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</si>
  <si>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</si>
  <si>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</si>
  <si>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</si>
  <si>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</si>
  <si>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</si>
  <si>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</si>
  <si>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</si>
  <si>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</si>
  <si>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</si>
  <si>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</si>
  <si>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</si>
  <si>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</si>
  <si>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</si>
  <si>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</si>
  <si>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</si>
  <si>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</si>
  <si>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</si>
  <si>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</si>
  <si>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</si>
  <si>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</si>
  <si>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</si>
  <si>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</si>
  <si>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</si>
  <si>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</si>
  <si>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</si>
  <si>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</si>
  <si>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</si>
  <si>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</si>
  <si>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</si>
  <si>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</si>
  <si>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</si>
  <si>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</si>
  <si>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</si>
  <si>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</si>
  <si>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</si>
  <si>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</si>
  <si>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</si>
  <si>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</si>
  <si>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</si>
  <si>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</si>
  <si>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</si>
  <si>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</si>
  <si>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</si>
  <si>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</si>
  <si>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</si>
  <si>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</si>
  <si>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</si>
  <si>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</si>
  <si>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</si>
  <si>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</si>
  <si>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</si>
  <si>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</si>
  <si>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</si>
  <si>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</si>
  <si>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</si>
  <si>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</si>
  <si>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</si>
  <si>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</si>
  <si>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</si>
  <si>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</si>
  <si>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</si>
  <si>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</si>
  <si>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</si>
  <si>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</si>
  <si>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</si>
  <si>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</si>
  <si>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</si>
  <si>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</si>
  <si>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</si>
  <si>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</si>
  <si>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</si>
  <si>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</si>
  <si>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</si>
  <si>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</si>
  <si>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</si>
  <si>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</si>
  <si>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</si>
  <si>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</si>
  <si>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</si>
  <si>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</si>
  <si>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</si>
  <si>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</si>
  <si>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</si>
  <si>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</si>
  <si>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</si>
  <si>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</si>
  <si>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</si>
  <si>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</si>
  <si>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</si>
  <si>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</si>
  <si>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</si>
  <si>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</si>
  <si>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</si>
  <si>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</si>
  <si>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</si>
  <si>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</si>
  <si>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</si>
  <si>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</si>
  <si>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</si>
  <si>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</si>
  <si>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</si>
  <si>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</si>
  <si>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</si>
  <si>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</si>
  <si>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</si>
  <si>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</si>
  <si>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</si>
  <si>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</si>
  <si>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</si>
  <si>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</si>
  <si>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</si>
  <si>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</si>
  <si>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</si>
  <si>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</si>
  <si>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</si>
  <si>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</si>
  <si>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</si>
  <si>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</si>
  <si>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</si>
  <si>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</si>
  <si>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</si>
  <si>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</si>
  <si>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</si>
  <si>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</si>
  <si>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</si>
  <si>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</si>
  <si>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</si>
  <si>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</si>
  <si>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</si>
  <si>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</si>
  <si>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</si>
  <si>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</si>
  <si>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</si>
  <si>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</si>
  <si>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</si>
  <si>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</si>
  <si>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</si>
  <si>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</si>
  <si>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</si>
  <si>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</si>
  <si>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</si>
  <si>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</si>
  <si>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</si>
  <si>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</si>
  <si>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</si>
  <si>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</si>
  <si>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</si>
  <si>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</si>
  <si>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</si>
  <si>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</si>
  <si>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</si>
  <si>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</si>
  <si>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</si>
  <si>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</si>
  <si>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</si>
  <si>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</si>
  <si>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</si>
  <si>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</si>
  <si>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</si>
  <si>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</si>
  <si>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</si>
  <si>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</si>
  <si>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</si>
  <si>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</si>
  <si>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</si>
  <si>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</si>
  <si>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</si>
  <si>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</si>
  <si>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</si>
  <si>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</si>
  <si>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</si>
  <si>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</si>
  <si>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</si>
  <si>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</si>
  <si>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</si>
  <si>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</si>
  <si>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</si>
  <si>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</si>
  <si>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</si>
  <si>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</si>
  <si>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</si>
  <si>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</si>
  <si>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</si>
  <si>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</si>
  <si>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</si>
  <si>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</si>
  <si>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</si>
  <si>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</si>
  <si>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</si>
  <si>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</si>
  <si>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</si>
  <si>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</si>
  <si>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</si>
  <si>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</si>
  <si>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</si>
  <si>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</si>
  <si>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</si>
  <si>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</si>
  <si>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</si>
  <si>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</si>
  <si>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</si>
  <si>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</si>
  <si>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</si>
  <si>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</si>
  <si>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</si>
  <si>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</si>
  <si>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</si>
  <si>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</si>
  <si>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</si>
  <si>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</si>
  <si>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</si>
  <si>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</si>
  <si>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</si>
  <si>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</si>
  <si>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</si>
  <si>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</si>
  <si>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</si>
  <si>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</si>
  <si>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</si>
  <si>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</si>
  <si>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</si>
  <si>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</si>
  <si>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</si>
  <si>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</si>
  <si>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</si>
  <si>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</si>
  <si>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</si>
  <si>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</si>
  <si>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</si>
  <si>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</si>
  <si>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</si>
  <si>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</si>
  <si>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</si>
  <si>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</si>
  <si>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</si>
  <si>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</si>
  <si>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</si>
  <si>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</si>
  <si>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</si>
  <si>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</si>
  <si>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</si>
  <si>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</si>
  <si>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</si>
  <si>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</si>
  <si>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</si>
  <si>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</si>
  <si>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</si>
  <si>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</si>
  <si>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</si>
  <si>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</si>
  <si>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</si>
  <si>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</si>
  <si>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</si>
  <si>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</si>
  <si>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</si>
  <si>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</si>
  <si>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</si>
  <si>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</si>
  <si>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</si>
  <si>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</si>
  <si>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</si>
  <si>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</si>
  <si>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</si>
  <si>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</si>
  <si>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</si>
  <si>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</si>
  <si>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</si>
  <si>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</si>
  <si>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</si>
  <si>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</si>
  <si>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</si>
  <si>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</si>
  <si>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</si>
  <si>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</si>
  <si>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</si>
  <si>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</si>
  <si>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</si>
  <si>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</si>
  <si>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</si>
  <si>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</si>
  <si>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</si>
  <si>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</si>
  <si>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</si>
  <si>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</si>
  <si>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</si>
  <si>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</si>
  <si>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</si>
  <si>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</si>
  <si>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</si>
  <si>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</si>
  <si>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</si>
  <si>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</si>
  <si>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</si>
  <si>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</si>
  <si>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</si>
  <si>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</si>
  <si>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</si>
  <si>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</si>
  <si>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</si>
  <si>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</si>
  <si>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</si>
  <si>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</si>
  <si>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</si>
  <si>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</si>
  <si>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</si>
  <si>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</si>
  <si>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</si>
  <si>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</si>
  <si>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</si>
  <si>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</si>
  <si>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</si>
  <si>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</si>
  <si>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</si>
  <si>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</si>
  <si>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</si>
  <si>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</si>
  <si>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</si>
  <si>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</si>
  <si>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</si>
  <si>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</si>
  <si>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</si>
  <si>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</si>
  <si>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</si>
  <si>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</si>
  <si>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</si>
  <si>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</si>
  <si>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</si>
  <si>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</si>
  <si>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</si>
  <si>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</si>
  <si>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</si>
  <si>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</si>
  <si>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</si>
  <si>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</si>
  <si>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</si>
  <si>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</si>
  <si>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</si>
  <si>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</si>
  <si>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</si>
  <si>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</si>
  <si>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</si>
  <si>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</si>
  <si>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</si>
  <si>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</si>
  <si>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</si>
  <si>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</si>
  <si>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</si>
  <si>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</si>
  <si>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</si>
  <si>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</si>
  <si>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</si>
  <si>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</si>
  <si>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</si>
  <si>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</si>
  <si>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</si>
  <si>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</si>
  <si>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</si>
  <si>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</si>
  <si>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</si>
  <si>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</si>
  <si>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</si>
  <si>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</si>
  <si>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</si>
  <si>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</si>
  <si>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</si>
  <si>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</si>
  <si>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</si>
  <si>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</si>
  <si>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</si>
  <si>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</si>
  <si>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</si>
  <si>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</si>
  <si>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</si>
  <si>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</si>
  <si>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</si>
  <si>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</si>
  <si>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</si>
  <si>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</si>
  <si>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</si>
  <si>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</si>
  <si>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</si>
  <si>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</si>
  <si>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</si>
  <si>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</si>
  <si>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</si>
  <si>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</si>
  <si>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</si>
  <si>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</si>
  <si>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</si>
  <si>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</si>
  <si>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</si>
  <si>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</si>
  <si>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</si>
  <si>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</si>
  <si>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</si>
  <si>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</si>
  <si>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</si>
  <si>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</si>
  <si>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</si>
  <si>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</si>
  <si>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</si>
  <si>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</si>
  <si>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</si>
  <si>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</si>
  <si>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</si>
  <si>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</si>
  <si>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</si>
  <si>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</si>
  <si>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</si>
  <si>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</si>
  <si>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</si>
  <si>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</si>
  <si>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</si>
  <si>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</si>
  <si>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</si>
  <si>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</si>
  <si>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</si>
  <si>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</si>
  <si>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</si>
  <si>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</si>
  <si>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</si>
  <si>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</si>
  <si>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</si>
  <si>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</si>
  <si>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</si>
  <si>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</si>
  <si>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</si>
  <si>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</si>
  <si>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</si>
  <si>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</si>
  <si>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</si>
  <si>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</si>
  <si>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</si>
  <si>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</si>
  <si>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</si>
  <si>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</si>
  <si>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</si>
  <si>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</si>
  <si>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</si>
  <si>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</si>
  <si>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</si>
  <si>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</si>
  <si>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</si>
  <si>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</si>
  <si>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</si>
  <si>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</si>
  <si>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</si>
  <si>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</si>
  <si>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</si>
  <si>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</si>
  <si>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</si>
  <si>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</si>
  <si>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</si>
  <si>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</si>
  <si>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</si>
  <si>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</si>
  <si>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</si>
  <si>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</si>
  <si>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</si>
  <si>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</si>
  <si>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</si>
  <si>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</si>
  <si>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</si>
  <si>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</si>
  <si>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</si>
  <si>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</si>
  <si>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</si>
  <si>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</si>
  <si>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</si>
  <si>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</si>
  <si>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</si>
  <si>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</si>
  <si>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</si>
  <si>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</si>
  <si>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</si>
  <si>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</si>
  <si>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</si>
  <si>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</si>
  <si>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</si>
  <si>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</si>
  <si>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</si>
  <si>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</si>
  <si>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</si>
  <si>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</si>
  <si>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</si>
  <si>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</si>
  <si>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</si>
  <si>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</si>
  <si>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</si>
  <si>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</si>
  <si>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</si>
  <si>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</si>
  <si>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</si>
  <si>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</si>
  <si>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</si>
  <si>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</si>
  <si>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</si>
  <si>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</si>
  <si>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</si>
  <si>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</si>
  <si>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</si>
  <si>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</si>
  <si>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</si>
  <si>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</si>
  <si>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</si>
  <si>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</si>
  <si>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</si>
  <si>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</si>
  <si>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</si>
  <si>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</si>
  <si>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</si>
  <si>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</si>
  <si>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</si>
  <si>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</si>
  <si>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</si>
  <si>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</si>
  <si>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</si>
  <si>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</si>
  <si>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</si>
  <si>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</si>
  <si>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</si>
  <si>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</si>
  <si>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</si>
  <si>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</si>
  <si>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</si>
  <si>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</si>
  <si>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</si>
  <si>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</si>
  <si>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</si>
  <si>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</si>
  <si>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</si>
  <si>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</si>
  <si>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</si>
  <si>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</si>
  <si>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</si>
  <si>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</si>
  <si>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</si>
  <si>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</si>
  <si>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</si>
  <si>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</si>
  <si>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</si>
  <si>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</si>
  <si>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</si>
  <si>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</si>
  <si>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</si>
  <si>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</si>
  <si>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</si>
  <si>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</si>
  <si>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</si>
  <si>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</si>
  <si>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</si>
  <si>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</si>
  <si>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</si>
  <si>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</si>
  <si>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</si>
  <si>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</si>
  <si>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</si>
  <si>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</si>
  <si>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</si>
  <si>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</si>
  <si>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</si>
  <si>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</si>
  <si>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</si>
  <si>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</si>
  <si>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</si>
  <si>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</si>
  <si>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</si>
  <si>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</si>
  <si>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</si>
  <si>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</si>
  <si>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</si>
  <si>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</si>
  <si>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</si>
  <si>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</si>
  <si>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</si>
  <si>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</si>
  <si>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</si>
  <si>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</si>
  <si>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</si>
  <si>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</si>
  <si>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</si>
  <si>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</si>
  <si>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</si>
  <si>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</si>
  <si>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</si>
  <si>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</si>
  <si>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</si>
  <si>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</si>
  <si>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</si>
  <si>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</si>
  <si>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</si>
  <si>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</si>
  <si>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</si>
  <si>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</si>
  <si>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</si>
  <si>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</si>
  <si>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</si>
  <si>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</si>
  <si>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</si>
  <si>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</si>
  <si>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</si>
  <si>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</si>
  <si>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</si>
  <si>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</si>
  <si>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</si>
  <si>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</si>
  <si>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</si>
  <si>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</si>
  <si>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</si>
  <si>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</si>
  <si>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</si>
  <si>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</si>
  <si>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</si>
  <si>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</si>
  <si>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</si>
  <si>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</si>
  <si>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</si>
  <si>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</si>
  <si>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</si>
  <si>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</si>
  <si>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</si>
  <si>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</si>
  <si>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</si>
  <si>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</si>
  <si>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</si>
  <si>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</si>
  <si>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</si>
  <si>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</si>
  <si>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</si>
  <si>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</si>
  <si>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</si>
  <si>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</si>
  <si>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</si>
  <si>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</si>
  <si>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</si>
  <si>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</si>
  <si>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</si>
  <si>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</si>
  <si>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</si>
  <si>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</si>
  <si>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</si>
  <si>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</si>
  <si>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</si>
  <si>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</si>
  <si>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</si>
  <si>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</si>
  <si>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</si>
  <si>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</si>
  <si>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</si>
  <si>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</si>
  <si>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</si>
  <si>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</si>
  <si>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</si>
  <si>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</si>
  <si>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</si>
  <si>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</si>
  <si>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</si>
  <si>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</si>
  <si>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</si>
  <si>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</si>
  <si>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</si>
  <si>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</si>
  <si>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</si>
  <si>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</si>
  <si>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</si>
  <si>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</si>
  <si>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</si>
  <si>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</si>
  <si>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</si>
  <si>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</si>
  <si>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</si>
  <si>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</si>
  <si>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</si>
  <si>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</si>
  <si>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</si>
  <si>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</si>
  <si>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</si>
  <si>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</si>
  <si>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</si>
  <si>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</si>
  <si>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</si>
  <si>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</si>
  <si>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</si>
  <si>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</si>
  <si>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</si>
  <si>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</si>
  <si>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</si>
  <si>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</si>
  <si>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</si>
  <si>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</si>
  <si>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</si>
  <si>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</si>
  <si>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</si>
  <si>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</si>
  <si>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</si>
  <si>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</si>
  <si>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</si>
  <si>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</si>
  <si>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</si>
  <si>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</si>
  <si>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</si>
  <si>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</si>
  <si>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</si>
  <si>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</si>
  <si>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</si>
  <si>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</si>
  <si>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</si>
  <si>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</si>
  <si>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</si>
  <si>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</si>
  <si>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</si>
  <si>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</si>
  <si>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</si>
  <si>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</si>
  <si>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</si>
  <si>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</si>
  <si>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</si>
  <si>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</si>
  <si>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</si>
  <si>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</si>
  <si>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</si>
  <si>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</si>
  <si>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</si>
  <si>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</si>
  <si>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</si>
  <si>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</si>
  <si>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</si>
  <si>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</si>
  <si>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</si>
  <si>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</si>
  <si>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</si>
  <si>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</si>
  <si>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</si>
  <si>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</si>
  <si>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</si>
  <si>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</si>
  <si>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</si>
  <si>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</si>
  <si>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</si>
  <si>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</si>
  <si>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</si>
  <si>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</si>
  <si>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</si>
  <si>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</si>
  <si>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</si>
  <si>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</si>
  <si>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</si>
  <si>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</si>
  <si>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</si>
  <si>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</si>
  <si>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</si>
  <si>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</si>
  <si>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</si>
  <si>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</si>
  <si>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</si>
  <si>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</si>
  <si>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</si>
  <si>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</si>
  <si>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</si>
  <si>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</si>
  <si>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</si>
  <si>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</si>
  <si>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</si>
  <si>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</si>
  <si>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</si>
  <si>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</si>
  <si>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</si>
  <si>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</si>
  <si>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</si>
  <si>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</si>
  <si>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</si>
  <si>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</si>
  <si>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</si>
  <si>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</si>
  <si>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</si>
  <si>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</si>
  <si>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</si>
  <si>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</si>
  <si>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</si>
  <si>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</si>
  <si>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</si>
  <si>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</si>
  <si>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</si>
  <si>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</si>
  <si>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</si>
  <si>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</si>
  <si>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</si>
  <si>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</si>
  <si>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</si>
  <si>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</si>
  <si>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</si>
  <si>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</si>
  <si>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</si>
  <si>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</si>
  <si>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</si>
  <si>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</si>
  <si>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</si>
  <si>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</si>
  <si>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</si>
  <si>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</si>
  <si>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</si>
  <si>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</si>
  <si>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</si>
  <si>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</si>
  <si>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</si>
  <si>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</si>
  <si>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</si>
  <si>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</si>
  <si>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</si>
  <si>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</si>
  <si>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</si>
  <si>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</si>
  <si>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</si>
  <si>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</si>
  <si>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</si>
  <si>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</si>
  <si>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</si>
  <si>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</si>
  <si>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</si>
  <si>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</si>
  <si>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</si>
  <si>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</si>
  <si>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</si>
  <si>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</si>
  <si>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</si>
  <si>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</si>
  <si>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</si>
  <si>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</si>
  <si>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</si>
  <si>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</si>
  <si>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</si>
  <si>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</si>
  <si>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</si>
  <si>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</si>
  <si>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</si>
  <si>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</si>
  <si>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</si>
  <si>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</si>
  <si>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</si>
  <si>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</si>
  <si>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</si>
  <si>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</si>
  <si>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</si>
  <si>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</si>
  <si>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</si>
  <si>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</si>
  <si>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</si>
  <si>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</si>
  <si>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</si>
  <si>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</si>
  <si>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</si>
  <si>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</si>
  <si>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</si>
  <si>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</si>
  <si>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</si>
  <si>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</si>
  <si>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</si>
  <si>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</si>
  <si>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</si>
  <si>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</si>
  <si>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</si>
  <si>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</si>
  <si>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</si>
  <si>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</si>
  <si>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</si>
  <si>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</si>
  <si>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</si>
  <si>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</si>
  <si>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</si>
  <si>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</si>
  <si>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</si>
  <si>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</si>
  <si>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</si>
  <si>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</si>
  <si>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</si>
  <si>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</si>
  <si>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</si>
  <si>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</si>
  <si>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</si>
  <si>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</si>
  <si>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</si>
  <si>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</si>
  <si>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</si>
  <si>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</si>
  <si>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</si>
  <si>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</si>
  <si>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</si>
  <si>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</si>
  <si>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</si>
  <si>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</si>
  <si>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</si>
  <si>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</si>
  <si>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</si>
  <si>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</si>
  <si>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</si>
  <si>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</si>
  <si>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</si>
  <si>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</si>
  <si>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</si>
  <si>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</si>
  <si>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</si>
  <si>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</si>
  <si>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</si>
  <si>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</si>
  <si>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</si>
  <si>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</si>
  <si>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</si>
  <si>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</si>
  <si>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</si>
  <si>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</si>
  <si>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</si>
  <si>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</si>
  <si>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</si>
  <si>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</si>
  <si>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</si>
  <si>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</si>
  <si>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</si>
  <si>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</si>
  <si>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</si>
  <si>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</si>
  <si>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</si>
  <si>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</si>
  <si>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</si>
  <si>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</si>
  <si>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</si>
  <si>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</si>
  <si>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</si>
  <si>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</si>
  <si>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</si>
  <si>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</si>
  <si>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</si>
  <si>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</si>
  <si>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</si>
  <si>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</si>
  <si>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</si>
  <si>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</si>
  <si>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</si>
  <si>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</si>
  <si>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</si>
  <si>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</si>
  <si>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</si>
  <si>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</si>
  <si>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</si>
  <si>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</si>
  <si>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</si>
  <si>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</si>
  <si>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</si>
  <si>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</si>
  <si>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</si>
  <si>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</si>
  <si>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</si>
  <si>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</si>
  <si>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</si>
  <si>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</si>
  <si>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</si>
  <si>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</si>
  <si>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</si>
  <si>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</si>
  <si>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</si>
  <si>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</si>
  <si>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</si>
  <si>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</si>
  <si>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</si>
  <si>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</si>
  <si>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</si>
  <si>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</si>
  <si>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</si>
  <si>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</si>
  <si>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</si>
  <si>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</si>
  <si>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</si>
  <si>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</si>
  <si>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</si>
  <si>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</si>
  <si>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</si>
  <si>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</si>
  <si>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</si>
  <si>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</si>
  <si>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</si>
  <si>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</si>
  <si>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</si>
  <si>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</si>
  <si>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</si>
  <si>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</si>
  <si>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</si>
  <si>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</si>
  <si>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</si>
  <si>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</si>
  <si>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</si>
  <si>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</si>
  <si>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</si>
  <si>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</si>
  <si>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</si>
  <si>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</si>
  <si>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</si>
  <si>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</si>
  <si>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</si>
  <si>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</si>
  <si>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</si>
  <si>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</si>
  <si>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</si>
  <si>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</si>
  <si>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</si>
  <si>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</si>
  <si>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</si>
  <si>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</si>
  <si>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</si>
  <si>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</si>
  <si>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</si>
  <si>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</si>
  <si>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</si>
  <si>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</si>
  <si>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</si>
  <si>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</si>
  <si>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</si>
  <si>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</si>
  <si>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</si>
  <si>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</si>
  <si>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</si>
  <si>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</si>
  <si>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</si>
  <si>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</si>
  <si>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</si>
  <si>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</si>
  <si>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</si>
  <si>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</si>
  <si>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</si>
  <si>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</si>
  <si>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</si>
  <si>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</si>
  <si>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</si>
  <si>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</si>
  <si>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</si>
  <si>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</si>
  <si>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</si>
  <si>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</si>
  <si>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</si>
  <si>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</si>
  <si>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</si>
  <si>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</si>
  <si>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</si>
  <si>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</si>
  <si>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</si>
  <si>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</si>
  <si>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</si>
  <si>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</si>
  <si>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</si>
  <si>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</si>
  <si>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</si>
  <si>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</si>
  <si>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</si>
  <si>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</si>
  <si>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</si>
  <si>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</si>
  <si>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</si>
  <si>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</si>
  <si>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</si>
  <si>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</si>
  <si>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</si>
  <si>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</si>
  <si>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</si>
  <si>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</si>
  <si>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</si>
  <si>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</si>
  <si>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</si>
  <si>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</si>
  <si>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</si>
  <si>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</si>
  <si>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</si>
  <si>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</si>
  <si>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</si>
  <si>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</si>
  <si>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</si>
  <si>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</si>
  <si>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</si>
  <si>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</si>
  <si>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</si>
  <si>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</si>
  <si>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</si>
  <si>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</si>
  <si>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</si>
  <si>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</si>
  <si>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</si>
  <si>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</si>
  <si>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</si>
  <si>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</si>
  <si>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</si>
  <si>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</si>
  <si>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</si>
  <si>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</si>
  <si>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</si>
  <si>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</si>
  <si>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</si>
  <si>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</si>
  <si>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</si>
  <si>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</si>
  <si>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</si>
  <si>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</si>
  <si>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</si>
  <si>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</si>
  <si>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</si>
  <si>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</si>
  <si>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</si>
  <si>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</si>
  <si>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</si>
  <si>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</si>
  <si>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</si>
  <si>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</si>
  <si>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</si>
  <si>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</si>
  <si>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</si>
  <si>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</si>
  <si>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</si>
  <si>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</si>
  <si>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</si>
  <si>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</si>
  <si>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</si>
  <si>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</si>
  <si>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</si>
  <si>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</si>
  <si>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</si>
  <si>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</si>
  <si>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</si>
  <si>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</si>
  <si>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</si>
  <si>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</si>
  <si>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</si>
  <si>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</si>
  <si>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</si>
  <si>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</si>
  <si>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</si>
  <si>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</si>
  <si>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</si>
  <si>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</si>
  <si>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</si>
  <si>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</si>
  <si>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</si>
  <si>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</si>
  <si>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</si>
  <si>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</si>
  <si>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</si>
  <si>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</si>
  <si>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</si>
  <si>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</si>
  <si>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</si>
  <si>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</si>
  <si>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</si>
  <si>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</si>
  <si>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</si>
  <si>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</si>
  <si>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</si>
  <si>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</si>
  <si>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</si>
  <si>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</si>
  <si>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</si>
  <si>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</si>
  <si>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</si>
  <si>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</si>
  <si>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</si>
  <si>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</si>
  <si>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</si>
  <si>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</si>
  <si>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</si>
  <si>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</si>
  <si>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</si>
  <si>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</si>
  <si>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</si>
  <si>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</si>
  <si>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</si>
  <si>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</si>
  <si>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</si>
  <si>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</si>
  <si>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</si>
  <si>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</si>
  <si>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</si>
  <si>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</si>
  <si>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</si>
  <si>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</si>
  <si>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</si>
  <si>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</si>
  <si>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</si>
  <si>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</si>
  <si>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</si>
  <si>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</si>
  <si>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</si>
  <si>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</si>
  <si>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</si>
  <si>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</si>
  <si>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</si>
  <si>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</si>
  <si>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</si>
  <si>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</si>
  <si>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</si>
  <si>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</si>
  <si>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</si>
  <si>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</si>
  <si>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</si>
  <si>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</si>
  <si>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</si>
  <si>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</si>
  <si>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</si>
  <si>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</si>
  <si>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</si>
  <si>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</si>
  <si>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</si>
  <si>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</si>
  <si>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</si>
  <si>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</si>
  <si>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</si>
  <si>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</si>
  <si>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</si>
  <si>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</si>
  <si>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</si>
  <si>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</si>
  <si>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</si>
  <si>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</si>
  <si>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</si>
  <si>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</si>
  <si>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</si>
  <si>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</si>
  <si>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</si>
  <si>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</si>
  <si>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</si>
  <si>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</si>
  <si>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</si>
  <si>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</si>
  <si>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</si>
  <si>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</si>
  <si>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</si>
  <si>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</si>
  <si>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</si>
  <si>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</si>
  <si>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</si>
  <si>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</si>
  <si>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</si>
  <si>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</si>
  <si>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</si>
  <si>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</si>
  <si>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</si>
  <si>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</si>
  <si>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</si>
  <si>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</si>
  <si>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</si>
  <si>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</si>
  <si>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</si>
  <si>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</si>
  <si>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</si>
  <si>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</si>
  <si>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</si>
  <si>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</si>
  <si>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</si>
  <si>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</si>
  <si>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</si>
  <si>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</si>
  <si>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</si>
  <si>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</si>
  <si>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</si>
  <si>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</si>
  <si>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</si>
  <si>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</si>
  <si>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</si>
  <si>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</si>
  <si>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</si>
  <si>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</si>
  <si>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</si>
  <si>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</si>
  <si>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</si>
  <si>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</si>
  <si>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</si>
  <si>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</si>
  <si>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</si>
  <si>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</si>
  <si>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</si>
  <si>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</si>
  <si>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</si>
  <si>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</si>
  <si>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</si>
  <si>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</si>
  <si>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</si>
  <si>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</si>
  <si>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</si>
  <si>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</si>
  <si>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</si>
  <si>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</si>
  <si>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</si>
  <si>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</si>
  <si>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</si>
  <si>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</si>
  <si>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</si>
  <si>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</si>
  <si>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</si>
  <si>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</si>
  <si>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</si>
  <si>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</si>
  <si>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</si>
  <si>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</si>
  <si>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</si>
  <si>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</si>
  <si>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</si>
  <si>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</si>
  <si>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</si>
  <si>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</si>
  <si>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</si>
  <si>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</si>
  <si>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</si>
  <si>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</si>
  <si>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</si>
  <si>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</si>
  <si>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</si>
  <si>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</si>
  <si>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</si>
  <si>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</si>
  <si>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</si>
  <si>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</si>
  <si>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</si>
  <si>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</si>
  <si>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</si>
  <si>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</si>
  <si>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</si>
  <si>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</si>
  <si>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</si>
  <si>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</si>
  <si>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</si>
  <si>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</si>
  <si>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</si>
  <si>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</si>
  <si>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</si>
  <si>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</si>
  <si>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</si>
  <si>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</si>
  <si>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</si>
  <si>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</si>
  <si>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</si>
  <si>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</si>
  <si>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</si>
  <si>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</si>
  <si>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</si>
  <si>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</si>
  <si>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</si>
  <si>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</si>
  <si>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</si>
  <si>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</si>
  <si>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</si>
  <si>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</si>
  <si>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</si>
  <si>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</si>
  <si>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</si>
  <si>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</si>
  <si>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</si>
  <si>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</si>
  <si>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</si>
  <si>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</si>
  <si>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</si>
  <si>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</si>
  <si>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</si>
  <si>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</si>
  <si>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</si>
  <si>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</si>
  <si>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</si>
  <si>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</si>
  <si>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</si>
  <si>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</si>
  <si>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</si>
  <si>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</si>
  <si>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</si>
  <si>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</si>
  <si>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</si>
  <si>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</si>
  <si>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</si>
  <si>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</si>
  <si>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</si>
  <si>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</si>
  <si>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</si>
  <si>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</si>
  <si>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</si>
  <si>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</si>
  <si>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</si>
  <si>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</si>
  <si>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</si>
  <si>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</si>
  <si>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</si>
  <si>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</si>
  <si>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</si>
  <si>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</si>
  <si>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</si>
  <si>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</si>
  <si>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</si>
  <si>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</si>
  <si>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</si>
  <si>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</si>
  <si>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</si>
  <si>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</si>
  <si>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</si>
  <si>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</si>
  <si>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</si>
  <si>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</si>
  <si>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</si>
  <si>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</si>
  <si>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</si>
  <si>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</si>
  <si>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</si>
  <si>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</si>
  <si>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</si>
  <si>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</si>
  <si>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</si>
  <si>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</si>
  <si>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</si>
  <si>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</si>
  <si>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</si>
  <si>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</si>
  <si>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</si>
  <si>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</si>
  <si>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</si>
  <si>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</si>
  <si>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</si>
  <si>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</si>
  <si>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</si>
  <si>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</si>
  <si>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</si>
  <si>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</si>
  <si>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</si>
  <si>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</si>
  <si>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</si>
  <si>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</si>
  <si>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</si>
  <si>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</si>
  <si>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</si>
  <si>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</si>
  <si>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</si>
  <si>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</si>
  <si>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</si>
  <si>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</si>
  <si>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</si>
  <si>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</si>
  <si>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</si>
  <si>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</si>
  <si>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</si>
  <si>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</si>
  <si>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</si>
  <si>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</si>
  <si>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</si>
  <si>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</si>
  <si>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</si>
  <si>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</si>
  <si>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</si>
  <si>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</si>
  <si>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</si>
  <si>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</si>
  <si>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</si>
  <si>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</si>
  <si>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</si>
  <si>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</si>
  <si>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</si>
  <si>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</si>
  <si>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</si>
  <si>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</si>
  <si>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</si>
  <si>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</si>
  <si>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</si>
  <si>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</si>
  <si>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</si>
  <si>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</si>
  <si>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</si>
  <si>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</si>
  <si>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</si>
  <si>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</si>
  <si>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</si>
  <si>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</si>
  <si>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</si>
  <si>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</si>
  <si>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</si>
  <si>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</si>
  <si>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</si>
  <si>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</si>
  <si>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</si>
  <si>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</si>
  <si>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</si>
  <si>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</si>
  <si>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</si>
  <si>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</si>
  <si>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</si>
  <si>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</si>
  <si>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</si>
  <si>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</si>
  <si>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</si>
  <si>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</si>
  <si>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</si>
  <si>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</si>
  <si>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</si>
  <si>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</si>
  <si>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</si>
  <si>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</si>
  <si>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</si>
  <si>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</si>
  <si>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</si>
  <si>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</si>
  <si>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</si>
  <si>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</si>
  <si>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</si>
  <si>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</si>
  <si>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</si>
  <si>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</si>
  <si>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</si>
  <si>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</si>
  <si>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</si>
  <si>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</si>
  <si>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</si>
  <si>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</si>
  <si>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</si>
  <si>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</si>
  <si>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</si>
  <si>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</si>
  <si>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</si>
  <si>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</si>
  <si>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</si>
  <si>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</si>
  <si>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</si>
  <si>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</si>
  <si>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</si>
  <si>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</si>
  <si>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</si>
  <si>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</si>
  <si>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</si>
  <si>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</si>
  <si>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</si>
  <si>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</si>
  <si>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</si>
  <si>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</si>
  <si>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</si>
  <si>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</si>
  <si>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</si>
  <si>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</si>
  <si>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</si>
  <si>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</si>
  <si>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</si>
  <si>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</si>
  <si>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</si>
  <si>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</si>
  <si>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</si>
  <si>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</si>
  <si>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</si>
  <si>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</si>
  <si>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</si>
  <si>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</si>
  <si>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</si>
  <si>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</si>
  <si>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</si>
  <si>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</si>
  <si>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</si>
  <si>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</si>
  <si>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</si>
  <si>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</si>
  <si>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</si>
  <si>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</si>
  <si>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</si>
  <si>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</si>
  <si>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</si>
  <si>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</si>
  <si>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</si>
  <si>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</si>
  <si>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</si>
  <si>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</si>
  <si>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</si>
  <si>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</si>
  <si>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</si>
  <si>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</si>
  <si>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</si>
  <si>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</si>
  <si>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</si>
  <si>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</si>
  <si>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</si>
  <si>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</si>
  <si>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</si>
  <si>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</si>
  <si>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</si>
  <si>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</si>
  <si>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</si>
  <si>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</si>
  <si>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</si>
  <si>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</si>
  <si>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</si>
  <si>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</si>
  <si>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</si>
  <si>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</si>
  <si>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</si>
  <si>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</si>
  <si>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</si>
  <si>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</si>
  <si>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</si>
  <si>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</si>
  <si>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</si>
  <si>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</si>
  <si>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</si>
  <si>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</si>
  <si>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</si>
  <si>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</si>
  <si>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</si>
  <si>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</si>
  <si>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</si>
  <si>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</si>
  <si>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</si>
  <si>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</si>
  <si>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</si>
  <si>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</si>
  <si>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</si>
  <si>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</si>
  <si>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</si>
  <si>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</si>
  <si>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</si>
  <si>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</si>
  <si>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</si>
  <si>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</si>
  <si>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</si>
  <si>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</si>
  <si>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</si>
  <si>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</si>
  <si>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</si>
  <si>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</si>
  <si>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</si>
  <si>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</si>
  <si>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</si>
  <si>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</si>
  <si>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</si>
  <si>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</si>
  <si>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</si>
  <si>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</si>
  <si>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</si>
  <si>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</si>
  <si>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</si>
  <si>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</si>
  <si>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</si>
  <si>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</si>
  <si>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</si>
  <si>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</si>
  <si>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</si>
  <si>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</si>
  <si>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</si>
  <si>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</si>
  <si>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</si>
  <si>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</si>
  <si>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</si>
  <si>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</si>
  <si>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</si>
  <si>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</si>
  <si>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</si>
  <si>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</si>
  <si>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</si>
  <si>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</si>
  <si>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</si>
  <si>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</si>
  <si>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</si>
  <si>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</si>
  <si>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</si>
  <si>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</si>
  <si>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</si>
  <si>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</si>
  <si>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</si>
  <si>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</si>
  <si>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</si>
  <si>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</si>
  <si>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</si>
  <si>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</si>
  <si>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</si>
  <si>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</si>
  <si>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</si>
  <si>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</si>
  <si>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</si>
  <si>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</si>
  <si>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</si>
  <si>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</si>
  <si>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</si>
  <si>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</si>
  <si>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</si>
  <si>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</si>
  <si>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</si>
  <si>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</si>
  <si>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</si>
  <si>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</si>
  <si>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</si>
  <si>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</si>
  <si>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</si>
  <si>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</si>
  <si>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</si>
  <si>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</si>
  <si>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</si>
  <si>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</si>
  <si>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</si>
  <si>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</si>
  <si>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</si>
  <si>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</si>
  <si>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</si>
  <si>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</si>
  <si>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</si>
  <si>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</si>
  <si>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</si>
  <si>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</si>
  <si>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</si>
  <si>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</si>
  <si>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</si>
  <si>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</si>
  <si>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</si>
  <si>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</si>
  <si>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</si>
  <si>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</si>
  <si>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</si>
  <si>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</si>
  <si>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</si>
  <si>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</si>
  <si>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</si>
  <si>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</si>
  <si>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</si>
  <si>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</si>
  <si>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</si>
  <si>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</si>
  <si>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</si>
  <si>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</si>
  <si>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</si>
  <si>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</si>
  <si>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</si>
  <si>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</si>
  <si>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</si>
  <si>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</si>
  <si>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</si>
  <si>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</si>
  <si>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</si>
  <si>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</si>
  <si>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</si>
  <si>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</si>
  <si>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</si>
  <si>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</si>
  <si>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</si>
  <si>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</si>
  <si>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</si>
  <si>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</si>
  <si>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</si>
  <si>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</si>
  <si>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</si>
  <si>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</si>
  <si>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</si>
  <si>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</si>
  <si>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</si>
  <si>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</si>
  <si>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</si>
  <si>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</si>
  <si>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</si>
  <si>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</si>
  <si>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</si>
  <si>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</si>
  <si>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</si>
  <si>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</si>
  <si>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</si>
  <si>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</si>
  <si>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</si>
  <si>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</si>
  <si>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</si>
  <si>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</si>
  <si>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</si>
  <si>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</si>
  <si>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</si>
  <si>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</si>
  <si>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</si>
  <si>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</si>
  <si>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</si>
  <si>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</si>
  <si>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</si>
  <si>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</si>
  <si>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</si>
  <si>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</si>
  <si>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</si>
  <si>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</si>
  <si>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</si>
  <si>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</si>
  <si>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</si>
  <si>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</si>
  <si>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</si>
  <si>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</si>
  <si>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</si>
  <si>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</si>
  <si>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</si>
  <si>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</si>
  <si>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</si>
  <si>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</si>
  <si>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</si>
  <si>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</si>
  <si>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</si>
  <si>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</si>
  <si>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</si>
  <si>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</si>
  <si>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</si>
  <si>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</si>
  <si>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</si>
  <si>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</si>
  <si>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</si>
  <si>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</si>
  <si>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</si>
  <si>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</si>
  <si>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</si>
  <si>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</si>
  <si>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</si>
  <si>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</si>
  <si>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</si>
  <si>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</si>
  <si>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</si>
  <si>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</si>
  <si>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</si>
  <si>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</si>
  <si>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</si>
  <si>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</si>
  <si>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</si>
  <si>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</si>
  <si>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</si>
  <si>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</si>
  <si>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</si>
  <si>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</si>
  <si>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</si>
  <si>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</si>
  <si>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</si>
  <si>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</si>
  <si>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</si>
  <si>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</si>
  <si>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</si>
  <si>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</si>
  <si>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</si>
  <si>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</si>
  <si>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</si>
  <si>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</si>
  <si>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</si>
  <si>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</si>
  <si>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</si>
  <si>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</si>
  <si>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</si>
  <si>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</si>
  <si>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</si>
  <si>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</si>
  <si>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</si>
  <si>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</si>
  <si>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</si>
  <si>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</si>
  <si>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</si>
  <si>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</si>
  <si>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</si>
  <si>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</si>
  <si>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</si>
  <si>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</si>
  <si>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</si>
  <si>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</si>
  <si>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</si>
  <si>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</si>
  <si>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</si>
  <si>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</si>
  <si>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</si>
  <si>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</si>
  <si>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</si>
  <si>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</si>
  <si>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</si>
  <si>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</si>
  <si>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</si>
  <si>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</si>
  <si>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</si>
  <si>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</si>
  <si>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</si>
  <si>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</si>
  <si>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</si>
  <si>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</si>
  <si>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</si>
  <si>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</si>
  <si>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</si>
  <si>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</si>
  <si>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</si>
  <si>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</si>
  <si>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</si>
  <si>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</si>
  <si>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</si>
  <si>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</si>
  <si>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</si>
  <si>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</si>
  <si>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</si>
  <si>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</si>
  <si>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</si>
  <si>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</si>
  <si>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</si>
  <si>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</si>
  <si>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</si>
  <si>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</si>
  <si>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</si>
  <si>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</si>
  <si>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</si>
  <si>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</si>
  <si>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</si>
  <si>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</si>
  <si>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</si>
  <si>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</si>
  <si>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</si>
  <si>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</si>
  <si>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</si>
  <si>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</si>
  <si>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</si>
  <si>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</si>
  <si>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</si>
  <si>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</si>
  <si>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</si>
  <si>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</si>
  <si>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</si>
  <si>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</si>
  <si>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</si>
  <si>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</si>
  <si>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</si>
  <si>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</si>
  <si>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</si>
  <si>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</si>
  <si>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</si>
  <si>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</si>
  <si>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</si>
  <si>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</si>
  <si>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</si>
  <si>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</si>
  <si>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</si>
  <si>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</si>
  <si>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</si>
  <si>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</si>
  <si>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</si>
  <si>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</si>
  <si>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</si>
  <si>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</si>
  <si>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</si>
  <si>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</si>
  <si>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</si>
  <si>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</si>
  <si>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</si>
  <si>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</si>
  <si>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</si>
  <si>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</si>
  <si>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</si>
  <si>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</si>
  <si>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</si>
  <si>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</si>
  <si>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</si>
  <si>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</si>
  <si>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</si>
  <si>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</si>
  <si>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</si>
  <si>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</si>
  <si>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</si>
  <si>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</si>
  <si>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</si>
  <si>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</si>
  <si>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</si>
  <si>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</si>
  <si>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</si>
  <si>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</si>
  <si>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</si>
  <si>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</si>
  <si>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</si>
  <si>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</si>
  <si>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</si>
  <si>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</si>
  <si>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</si>
  <si>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</si>
  <si>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</si>
  <si>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</si>
  <si>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</si>
  <si>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</si>
  <si>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</si>
  <si>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</si>
  <si>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</si>
  <si>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</si>
  <si>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</si>
  <si>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</si>
  <si>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</si>
  <si>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</si>
  <si>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</si>
  <si>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</si>
  <si>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</si>
  <si>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</si>
  <si>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</si>
  <si>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</si>
  <si>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</si>
  <si>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</si>
  <si>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</si>
  <si>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</si>
  <si>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</si>
  <si>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</si>
  <si>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</si>
  <si>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</si>
  <si>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</si>
  <si>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</si>
  <si>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</si>
  <si>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</si>
  <si>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</si>
  <si>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</si>
  <si>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</si>
  <si>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</si>
  <si>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</si>
  <si>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</si>
  <si>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</si>
  <si>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</si>
  <si>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</si>
  <si>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</si>
  <si>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</si>
  <si>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</si>
  <si>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</si>
  <si>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</si>
  <si>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</si>
  <si>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</si>
  <si>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</si>
  <si>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</si>
  <si>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</si>
  <si>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</si>
  <si>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</si>
  <si>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</si>
  <si>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</si>
  <si>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</si>
  <si>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</si>
  <si>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</si>
  <si>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</si>
  <si>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</si>
  <si>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</si>
  <si>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</si>
  <si>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</si>
  <si>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</si>
  <si>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</si>
  <si>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</si>
  <si>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</si>
  <si>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</si>
  <si>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</si>
  <si>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</si>
  <si>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</si>
  <si>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</si>
  <si>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</si>
  <si>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</si>
  <si>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</si>
  <si>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</si>
  <si>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</si>
  <si>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</si>
  <si>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</si>
  <si>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</si>
  <si>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</si>
  <si>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</si>
  <si>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</si>
  <si>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</si>
  <si>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</si>
  <si>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</si>
  <si>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</si>
  <si>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</si>
  <si>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</si>
  <si>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</si>
  <si>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</si>
  <si>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</si>
  <si>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</si>
  <si>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</si>
  <si>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</si>
  <si>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</si>
  <si>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</si>
  <si>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</si>
  <si>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</si>
  <si>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</si>
  <si>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</si>
  <si>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</si>
  <si>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</si>
  <si>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</si>
  <si>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</si>
  <si>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</si>
  <si>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</si>
  <si>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</si>
  <si>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</si>
  <si>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</si>
  <si>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</si>
  <si>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</si>
  <si>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</si>
  <si>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</si>
  <si>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</si>
  <si>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</si>
  <si>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</si>
  <si>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</si>
  <si>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</si>
  <si>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</si>
  <si>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</si>
  <si>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</si>
  <si>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</si>
  <si>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</si>
  <si>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</si>
  <si>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</si>
  <si>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</si>
  <si>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</si>
  <si>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</si>
  <si>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</si>
  <si>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</si>
  <si>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</si>
  <si>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</si>
  <si>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</si>
  <si>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</si>
  <si>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</si>
  <si>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</si>
  <si>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</si>
  <si>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</si>
  <si>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</si>
  <si>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</si>
  <si>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</si>
  <si>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</si>
  <si>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</si>
  <si>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</si>
  <si>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</si>
  <si>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</si>
  <si>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</si>
  <si>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</si>
  <si>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</si>
  <si>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</si>
  <si>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</si>
  <si>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</si>
  <si>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</si>
  <si>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</si>
  <si>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</si>
  <si>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</si>
  <si>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</si>
  <si>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</si>
  <si>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</si>
  <si>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</si>
  <si>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</si>
  <si>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</si>
  <si>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</si>
  <si>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</si>
  <si>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</si>
  <si>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</si>
  <si>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</si>
  <si>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</si>
  <si>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</si>
  <si>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</si>
  <si>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</si>
  <si>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</si>
  <si>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</si>
  <si>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</si>
  <si>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</si>
  <si>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</si>
  <si>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</si>
  <si>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</si>
  <si>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</si>
  <si>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</si>
  <si>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</si>
  <si>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</si>
  <si>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</si>
  <si>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</si>
  <si>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</si>
  <si>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</si>
  <si>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</si>
  <si>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</si>
  <si>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</si>
  <si>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</si>
  <si>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</si>
  <si>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</si>
  <si>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</si>
  <si>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</si>
  <si>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</si>
  <si>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</si>
  <si>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</si>
  <si>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</si>
  <si>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</si>
  <si>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</si>
  <si>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</si>
  <si>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</si>
  <si>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</si>
  <si>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</si>
  <si>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</si>
  <si>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</si>
  <si>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</si>
  <si>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</si>
  <si>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</si>
  <si>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</si>
  <si>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</si>
  <si>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</si>
  <si>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</si>
  <si>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</si>
  <si>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</si>
  <si>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</si>
  <si>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</si>
  <si>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</si>
  <si>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</si>
  <si>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</si>
  <si>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</si>
  <si>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</si>
  <si>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</si>
  <si>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</si>
  <si>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</si>
  <si>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</si>
  <si>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</si>
  <si>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</si>
  <si>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</si>
  <si>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</si>
  <si>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</si>
  <si>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</si>
  <si>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</si>
  <si>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</si>
  <si>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</si>
  <si>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</si>
  <si>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</si>
  <si>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</si>
  <si>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</si>
  <si>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</si>
  <si>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</si>
  <si>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</si>
  <si>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</si>
  <si>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</si>
  <si>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</si>
  <si>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</si>
  <si>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</si>
  <si>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</si>
  <si>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</si>
  <si>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</si>
  <si>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</si>
  <si>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</si>
  <si>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</si>
  <si>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</si>
  <si>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</si>
  <si>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</si>
  <si>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</si>
  <si>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</si>
  <si>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</si>
  <si>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</si>
  <si>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</si>
  <si>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</si>
  <si>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</si>
  <si>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</si>
  <si>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</si>
  <si>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</si>
  <si>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</si>
  <si>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</si>
  <si>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</si>
  <si>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</si>
  <si>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</si>
  <si>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</si>
  <si>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</si>
  <si>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</si>
  <si>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</si>
  <si>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</si>
  <si>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</si>
  <si>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</si>
  <si>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</si>
  <si>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</si>
  <si>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</si>
  <si>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</si>
  <si>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</si>
  <si>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</si>
  <si>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</si>
  <si>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</si>
  <si>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</si>
  <si>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</si>
  <si>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</si>
  <si>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</si>
  <si>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</si>
  <si>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</si>
  <si>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</si>
  <si>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</si>
  <si>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崔锴</t>
  </si>
  <si>
    <t>房地产抵押价值</t>
  </si>
  <si>
    <t>北京市</t>
  </si>
  <si>
    <t>企业</t>
  </si>
  <si>
    <t>北京福溢丰园资产管理有限公司</t>
    <phoneticPr fontId="6" type="noConversion"/>
  </si>
  <si>
    <t>复印件</t>
  </si>
  <si>
    <t>居住项目</t>
  </si>
  <si>
    <t>无</t>
  </si>
  <si>
    <t>否</t>
  </si>
  <si>
    <t>现房</t>
  </si>
  <si>
    <t>通路</t>
  </si>
  <si>
    <t>通电</t>
  </si>
  <si>
    <t>通讯</t>
  </si>
  <si>
    <t>通上水</t>
  </si>
  <si>
    <t>通下水</t>
  </si>
  <si>
    <t>平整</t>
  </si>
  <si>
    <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</si>
  <si>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t>是</t>
  </si>
  <si>
    <t>地上</t>
  </si>
  <si>
    <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</si>
  <si>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t>地下</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</si>
  <si>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</si>
  <si>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</si>
  <si>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</si>
  <si>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</si>
  <si>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</si>
  <si>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</si>
  <si>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</si>
  <si>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</si>
  <si>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估价对象容积率</t>
  </si>
  <si>
    <t>不临65条商业街</t>
  </si>
  <si>
    <t>与级别开发程度不一致</t>
  </si>
  <si>
    <t>一般</t>
  </si>
  <si>
    <t>好</t>
  </si>
  <si>
    <t>未包含在土地购买价格中</t>
  </si>
  <si>
    <t>已包含在土地取得成本中</t>
  </si>
  <si>
    <t>押一</t>
  </si>
  <si>
    <t>钢混</t>
  </si>
  <si>
    <t>非生产用房</t>
  </si>
  <si>
    <t>成本法</t>
  </si>
  <si>
    <t>单价</t>
    <phoneticPr fontId="7" type="noConversion"/>
  </si>
  <si>
    <t>总值</t>
    <phoneticPr fontId="7" type="noConversion"/>
  </si>
  <si>
    <t>结果</t>
    <phoneticPr fontId="7" type="noConversion"/>
  </si>
  <si>
    <t>正常</t>
  </si>
  <si>
    <t>楼层修正</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</si>
  <si>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</si>
  <si>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</si>
  <si>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</si>
  <si>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</si>
  <si>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</si>
  <si>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</si>
  <si>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</si>
  <si>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</si>
  <si>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</si>
  <si>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</si>
  <si>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</si>
  <si>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</si>
  <si>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</si>
  <si>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</si>
  <si>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</si>
  <si>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</si>
  <si>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</si>
  <si>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</si>
  <si>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</si>
  <si>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</si>
  <si>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</si>
  <si>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</si>
  <si>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</si>
  <si>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</si>
  <si>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</si>
  <si>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</si>
  <si>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</si>
  <si>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</si>
  <si>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</si>
  <si>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</si>
  <si>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</si>
  <si>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</si>
  <si>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</si>
  <si>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</si>
  <si>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</si>
  <si>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</si>
  <si>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</si>
  <si>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</si>
  <si>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</si>
  <si>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</si>
  <si>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</si>
  <si>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</si>
  <si>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</si>
  <si>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</si>
  <si>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</si>
  <si>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</si>
  <si>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</si>
  <si>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</si>
  <si>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</si>
  <si>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</si>
  <si>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</si>
  <si>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</si>
  <si>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</si>
  <si>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</si>
  <si>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</si>
  <si>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</si>
  <si>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</si>
  <si>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</si>
  <si>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</si>
  <si>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</si>
  <si>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</si>
  <si>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北京市海淀区中关村翠湖科技园A1地块HD00-0302-0175、6008地块F3其他类多功能用地、B23研发设计用地</t>
  </si>
  <si>
    <t>京土储挂(海)[2024]008号</t>
  </si>
  <si>
    <t xml:space="preserve"> 北京 </t>
  </si>
  <si>
    <t xml:space="preserve"> 海淀区 </t>
  </si>
  <si>
    <t xml:space="preserve"> 温泉 </t>
  </si>
  <si>
    <t xml:space="preserve"> 海淀区西北旺镇 </t>
  </si>
  <si>
    <t xml:space="preserve"> 商业/办公用地 </t>
  </si>
  <si>
    <t xml:space="preserve"> 0175:1、6008:1.6 </t>
  </si>
  <si>
    <t xml:space="preserve"> 挂牌 </t>
  </si>
  <si>
    <t xml:space="preserve"> A1行政办公用地、A3教育科研用地 </t>
  </si>
  <si>
    <t xml:space="preserve"> F3其他类多功能用地、B23研发设计用地 </t>
  </si>
  <si>
    <t xml:space="preserve">-- </t>
  </si>
  <si>
    <t xml:space="preserve"> -- </t>
  </si>
  <si>
    <t xml:space="preserve"> 0175:12、6008:18.8-28 </t>
  </si>
  <si>
    <t xml:space="preserve"> 京土储挂(海)[2024]008号 </t>
  </si>
  <si>
    <t xml:space="preserve"> 已成交 </t>
  </si>
  <si>
    <t xml:space="preserve"> 北京翠湖智达科技服务有限责任公司  </t>
  </si>
  <si>
    <t xml:space="preserve"> 北京实创科技园 </t>
  </si>
  <si>
    <t xml:space="preserve"> 地方国有企业 </t>
  </si>
  <si>
    <t xml:space="preserve"> 城投企业 </t>
  </si>
  <si>
    <t>2024-03-15 15:00</t>
  </si>
  <si>
    <t xml:space="preserve"> 商业 40 年; 办公 50 年; 公服(科研) 20 年 </t>
  </si>
  <si>
    <t xml:space="preserve"> 已开工 </t>
  </si>
  <si>
    <t xml:space="preserve"> 否 </t>
  </si>
  <si>
    <t xml:space="preserve"> --</t>
  </si>
  <si>
    <t>北京市海淀区学院路北端A、B、C、J地块B4综合性商业金融服务业用地、 B23研发设计用地</t>
  </si>
  <si>
    <t>京土储挂(海)[2023]073号</t>
  </si>
  <si>
    <t xml:space="preserve"> 学清路 </t>
  </si>
  <si>
    <t xml:space="preserve"> 海淀区学院路地区 </t>
  </si>
  <si>
    <t xml:space="preserve"> B21金融保险用地、B1商业设施用地 </t>
  </si>
  <si>
    <t xml:space="preserve"> B4综合性商业金融服务业用地、B23研发设计用地 </t>
  </si>
  <si>
    <t xml:space="preserve"> 京土储挂(海)[2023]073号 </t>
  </si>
  <si>
    <t xml:space="preserve"> 腾讯科技(北京)有限公司  </t>
  </si>
  <si>
    <t xml:space="preserve"> 腾讯科技（北京）有限公司 </t>
  </si>
  <si>
    <t>2024-01-23 15:00</t>
  </si>
  <si>
    <t xml:space="preserve"> 商业 40 年; 办公 50 年; 公服(科研) 50 年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</si>
  <si>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</si>
  <si>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</si>
  <si>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</si>
  <si>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</si>
  <si>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</si>
  <si>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小于等于7 </t>
  </si>
  <si>
    <t xml:space="preserve"> B4综合性商业金融服务业用地 </t>
  </si>
  <si>
    <t xml:space="preserve"> 京土储挂(丰)[2023]067号 </t>
  </si>
  <si>
    <t xml:space="preserve"> 中国南水北调集团综合服务有限公司  </t>
  </si>
  <si>
    <t xml:space="preserve"> 中国南水北调集团有限公司 </t>
  </si>
  <si>
    <t>2023-12-28 15:00</t>
  </si>
  <si>
    <t xml:space="preserve"> 商业40年 办公50年 </t>
  </si>
  <si>
    <t>北京市海淀区西北旺镇永丰产业基地(新)HD00-0403-004地块F3其他类多功能用地</t>
  </si>
  <si>
    <t>京土储挂(海)[2023]039号</t>
  </si>
  <si>
    <t xml:space="preserve"> 海淀区西北旺镇永丰产业基地 </t>
  </si>
  <si>
    <t xml:space="preserve"> B商业服务业设施用地 </t>
  </si>
  <si>
    <t xml:space="preserve"> F3其他类多功能用地 </t>
  </si>
  <si>
    <t xml:space="preserve"> 京土储挂(海)[2023]039号 </t>
  </si>
  <si>
    <t xml:space="preserve"> 北京泽御置业有限公司  </t>
  </si>
  <si>
    <t xml:space="preserve"> 北京市海淀区玉渊潭农工商总公司 </t>
  </si>
  <si>
    <t>2023-08-03 15:00</t>
  </si>
  <si>
    <t xml:space="preserve"> 商业40年办公50年 </t>
  </si>
  <si>
    <t>北京市丰台区丽泽金融商务区FT00-0612-0016等地块F3其他类多功能用地、S32公交场站设施用地</t>
  </si>
  <si>
    <t>京土储挂(丰)[2023]014号</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</si>
  <si>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</si>
  <si>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</si>
  <si>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</si>
  <si>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</si>
  <si>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</si>
  <si>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</si>
  <si>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</si>
  <si>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</si>
  <si>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2023-06-13 15:00</t>
  </si>
  <si>
    <t>北京市海淀区西北旺镇永丰产业基地(新)HD00-0403-009地块F3其他类多功能用地</t>
  </si>
  <si>
    <t>京土储挂(海)[2022]063号</t>
  </si>
  <si>
    <t xml:space="preserve"> 海淀区永丰产业基地 </t>
  </si>
  <si>
    <t xml:space="preserve"> 京土储挂(海)[2022]063号 </t>
  </si>
  <si>
    <t xml:space="preserve"> 北京永丰数字融汇科技有限责任公司  </t>
  </si>
  <si>
    <t>2022-10-31 15:00</t>
  </si>
  <si>
    <t>北京市海淀区西北旺镇永丰产业基地(新)HD00-0403-001地块F3其他类多功能用地</t>
  </si>
  <si>
    <t>京土储挂(海)[2022]062号</t>
  </si>
  <si>
    <t xml:space="preserve"> 京土储挂(海)[2022]062号 </t>
  </si>
  <si>
    <t xml:space="preserve"> 北京永丰数字先行科技有限责任公司  </t>
  </si>
  <si>
    <t>北京市丰台区丽泽金融商务区D-01地块B4综合性商业金融服务业用地</t>
  </si>
  <si>
    <t>京土储挂(丰)[2022]043号</t>
  </si>
  <si>
    <t xml:space="preserve"> ≤6.33 </t>
  </si>
  <si>
    <t xml:space="preserve"> 京土储挂(丰)[2022]043号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</si>
  <si>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</si>
  <si>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</si>
  <si>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</si>
  <si>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</si>
  <si>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</si>
  <si>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</si>
  <si>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</si>
  <si>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</si>
  <si>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</si>
  <si>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</si>
  <si>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2021-10-25 15:00</t>
  </si>
  <si>
    <t xml:space="preserve"> 商业40年,办公50年 </t>
  </si>
  <si>
    <t xml:space="preserve"> 已竣工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</si>
  <si>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</si>
  <si>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</si>
  <si>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</si>
  <si>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</si>
  <si>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</si>
  <si>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</si>
  <si>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</si>
  <si>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</si>
  <si>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北京市海淀区西八里庄0711-652、640、641地块B4综合性商业金融服务业用地</t>
  </si>
  <si>
    <t>京土整储挂(海)[2020]042号</t>
  </si>
  <si>
    <t xml:space="preserve"> 定慧寺 </t>
  </si>
  <si>
    <t xml:space="preserve"> 海淀区玲珑巷地区 </t>
  </si>
  <si>
    <t xml:space="preserve"> 0711一652≤4.5,0711一640≤1.7,0711一641≤1.3 </t>
  </si>
  <si>
    <t xml:space="preserve"> 0711一652≤60,0711一640≤18,0711一641≤9 </t>
  </si>
  <si>
    <t xml:space="preserve"> 京土整储挂(海)[2020]042号 </t>
  </si>
  <si>
    <t xml:space="preserve"> 中国电建地产集团有限公司  </t>
  </si>
  <si>
    <t xml:space="preserve"> 电建地产 </t>
  </si>
  <si>
    <t xml:space="preserve"> 中央国有企业 </t>
  </si>
  <si>
    <t>2020-12-01 15:00</t>
  </si>
  <si>
    <t xml:space="preserve"> 商业40年、办公50年 </t>
  </si>
  <si>
    <t>北京市海淀区学院路北端A、B、C、J地块B4综合性商业金融服务业用地、B23研发设计用地</t>
  </si>
  <si>
    <t>京土整储招(海)[2019]034号</t>
  </si>
  <si>
    <t xml:space="preserve"> 海淀区学院路北端 </t>
  </si>
  <si>
    <t xml:space="preserve"> ≤4.04 </t>
  </si>
  <si>
    <t xml:space="preserve"> 招标 </t>
  </si>
  <si>
    <t xml:space="preserve"> 京土整储招(海)[2019]034号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</si>
  <si>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</si>
  <si>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</si>
  <si>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</si>
  <si>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京土整储挂(海)[2019]015号</t>
  </si>
  <si>
    <t xml:space="preserve"> 西三旗 </t>
  </si>
  <si>
    <t xml:space="preserve"> 海淀区西三旗 </t>
  </si>
  <si>
    <t xml:space="preserve"> ≤2.8 </t>
  </si>
  <si>
    <t xml:space="preserve"> ≤45% </t>
  </si>
  <si>
    <t xml:space="preserve"> ≤45米 </t>
  </si>
  <si>
    <t xml:space="preserve"> 京土整储挂(海)[2019]015号 </t>
  </si>
  <si>
    <t xml:space="preserve"> 北京润置商业运营管理有限公司  </t>
  </si>
  <si>
    <t xml:space="preserve"> 华润置地 </t>
  </si>
  <si>
    <t>北京市海淀区"海淀北部地区整体开发"西北旺镇HD00-0402-0102地块(永丰产业基地)B1商业用地</t>
  </si>
  <si>
    <t>京土整储挂(海)[2019]005号</t>
  </si>
  <si>
    <t xml:space="preserve"> ≤3 </t>
  </si>
  <si>
    <t xml:space="preserve"> B1商业设施用地 </t>
  </si>
  <si>
    <t xml:space="preserve"> B1商业用地 </t>
  </si>
  <si>
    <t xml:space="preserve"> ≤50% </t>
  </si>
  <si>
    <t xml:space="preserve"> &lt;60米 </t>
  </si>
  <si>
    <t xml:space="preserve"> 京土整储挂(海)[2019]005号 </t>
  </si>
  <si>
    <t xml:space="preserve"> 北京实创科技园开发建设股份有限公司  </t>
  </si>
  <si>
    <r>
      <rPr>
        <sz val="10"/>
        <color indexed="8"/>
        <rFont val="宋体"/>
        <family val="3"/>
        <charset val="134"/>
      </rPr>
      <t>租约</t>
    </r>
    <r>
      <rPr>
        <sz val="10"/>
        <color indexed="8"/>
        <rFont val="Arial"/>
        <family val="2"/>
      </rPr>
      <t>20</t>
    </r>
    <r>
      <rPr>
        <sz val="10"/>
        <color indexed="8"/>
        <rFont val="宋体"/>
        <family val="3"/>
        <charset val="134"/>
      </rPr>
      <t>年</t>
    </r>
    <phoneticPr fontId="3" type="noConversion"/>
  </si>
  <si>
    <r>
      <rPr>
        <sz val="10"/>
        <color indexed="8"/>
        <rFont val="宋体"/>
        <family val="3"/>
        <charset val="134"/>
      </rPr>
      <t>收益期剩余</t>
    </r>
    <r>
      <rPr>
        <sz val="10"/>
        <color indexed="8"/>
        <rFont val="Arial"/>
        <family val="2"/>
      </rPr>
      <t>20</t>
    </r>
    <r>
      <rPr>
        <sz val="10"/>
        <color indexed="8"/>
        <rFont val="宋体"/>
        <family val="3"/>
        <charset val="134"/>
      </rPr>
      <t>年</t>
    </r>
    <phoneticPr fontId="3" type="noConversion"/>
  </si>
  <si>
    <t>租约</t>
    <phoneticPr fontId="3" type="noConversion"/>
  </si>
  <si>
    <r>
      <t>3</t>
    </r>
    <r>
      <rPr>
        <sz val="10"/>
        <color indexed="8"/>
        <rFont val="宋体"/>
        <family val="3"/>
        <charset val="134"/>
      </rPr>
      <t>年</t>
    </r>
    <r>
      <rPr>
        <sz val="10"/>
        <color indexed="8"/>
        <rFont val="Arial"/>
        <family val="2"/>
      </rPr>
      <t>5%</t>
    </r>
    <phoneticPr fontId="3" type="noConversion"/>
  </si>
  <si>
    <t>总价</t>
  </si>
  <si>
    <t>正源定慧福里</t>
    <phoneticPr fontId="134" type="noConversion"/>
  </si>
  <si>
    <r>
      <rPr>
        <sz val="10"/>
        <color theme="9" tint="-0.249977111117893"/>
        <rFont val="宋体"/>
        <family val="3"/>
        <charset val="134"/>
      </rPr>
      <t>海淀区八里庄路</t>
    </r>
    <r>
      <rPr>
        <sz val="10"/>
        <color theme="9" tint="-0.249977111117893"/>
        <rFont val="Arial"/>
        <family val="2"/>
      </rPr>
      <t>62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</si>
</sst>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0" xfId="0" applyFont="1" applyProtection="1">
      <alignment vertical="center"/>
      <protection locked="0"/>
    </xf>
    <xf numFmtId="0" fontId="269" fillId="0" borderId="0" xfId="19" applyNumberFormat="1"/>
    <xf numFmtId="14" fontId="269" fillId="0" borderId="0" xfId="19" applyNumberFormat="1"/>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北京市海淀区八里庄路62号院1号楼1层101等房地产抵押价值预评估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受贵公司委托，我公司对北京市海淀区八里庄路62号院1号楼1层101等房地产抵押价值进行了预评估。</v>
      </c>
    </row>
    <row r="7" spans="1:2" s="1203" customFormat="1">
      <c r="A7" s="1201" t="s">
        <v>566</v>
      </c>
      <c r="B7" s="1202" t="str">
        <f>'预评函-1'!A7</f>
        <v>估价对象为北京市海淀区八里庄路62号院1号楼1层101等房地产，为北京福溢丰园资产管理有限公司所有。根据《国有土地使用证》[]，估价对象（分摊）出让国有建设用地使用权面积为2347.3平方米，建筑面积为21318.1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八里庄路62号院1号楼1层101等房地产,属北京福溢丰园资产管理有限公司开发建设的居住项目，该项目尚在开发建设中。根据《国有土地使用证》[]，估价对象（分摊）出让国有建设用地使用权面积为2347.3平方米，规划建筑面积为21318.1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八里庄路62号院1号楼1层101等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2024年4月28日（评估专业人员实地查勘之日）</v>
      </c>
    </row>
    <row r="13" spans="1:2" s="1203" customFormat="1">
      <c r="A13" s="1201" t="s">
        <v>529</v>
      </c>
      <c r="B13" s="1202" t="str">
        <f>'预评函-1'!A18</f>
        <v>本次估价的“房地产价值”是指在正常市场情况下，在价值时点2024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32364</v>
      </c>
    </row>
    <row r="21" spans="1:2" s="1203" customFormat="1">
      <c r="A21" s="1201" t="s">
        <v>537</v>
      </c>
      <c r="B21" s="1202">
        <f ca="1">'预评函-2'!D7</f>
        <v>15181</v>
      </c>
    </row>
    <row r="22" spans="1:2" s="1203" customFormat="1">
      <c r="A22" s="1201" t="s">
        <v>538</v>
      </c>
      <c r="B22" s="1202" t="str">
        <f ca="1">'预评函-2'!D6</f>
        <v>叁亿贰仟叁佰陆拾肆万元整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32364</v>
      </c>
    </row>
    <row r="31" spans="1:2" s="1203" customFormat="1">
      <c r="A31" s="1201" t="s">
        <v>576</v>
      </c>
      <c r="B31" s="1202">
        <f ca="1">'预评函-2'!D15</f>
        <v>15181</v>
      </c>
    </row>
    <row r="32" spans="1:2" s="1203" customFormat="1">
      <c r="A32" s="1201" t="s">
        <v>543</v>
      </c>
      <c r="B32" s="1202" t="str">
        <f ca="1">'预评函-2'!D14</f>
        <v>叁亿贰仟叁佰陆拾肆万元整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北京市海淀区八里庄路62号院1号楼1层101等房地产</v>
      </c>
    </row>
    <row r="42" spans="1:2" s="1203" customFormat="1">
      <c r="A42" s="1201" t="s">
        <v>590</v>
      </c>
      <c r="B42" s="1202" t="str">
        <f>'预评函-3'!B2</f>
        <v>建筑面积</v>
      </c>
    </row>
    <row r="43" spans="1:2" s="1203" customFormat="1">
      <c r="A43" s="1201" t="s">
        <v>591</v>
      </c>
      <c r="B43" s="1202">
        <f>'预评函-3'!B4</f>
        <v>21318.1</v>
      </c>
    </row>
    <row r="44" spans="1:2" s="1203" customFormat="1">
      <c r="A44" s="1201" t="s">
        <v>575</v>
      </c>
      <c r="B44" s="1202" t="str">
        <f>'预评函-3'!C2</f>
        <v>(分摊)土地面积</v>
      </c>
    </row>
    <row r="45" spans="1:2" s="1203" customFormat="1">
      <c r="A45" s="1201" t="s">
        <v>547</v>
      </c>
      <c r="B45" s="1202">
        <f>'预评函-3'!C4</f>
        <v>2347.3000000000002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2287</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等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4" t="s">
        <v>385</v>
      </c>
      <c r="C54" s="1551" t="s">
        <v>583</v>
      </c>
    </row>
    <row r="55" spans="1:4">
      <c r="A55" s="3486"/>
      <c r="B55" s="1554" t="s">
        <v>386</v>
      </c>
      <c r="C55" s="1551" t="s">
        <v>584</v>
      </c>
    </row>
    <row r="56" spans="1:4">
      <c r="A56" s="3486"/>
      <c r="B56" s="1554" t="s">
        <v>387</v>
      </c>
      <c r="C56" s="1551" t="s">
        <v>588</v>
      </c>
    </row>
    <row r="57" spans="1:4">
      <c r="A57" s="348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487" t="s">
        <v>2578</v>
      </c>
      <c r="J2" s="3487"/>
      <c r="K2" s="3487"/>
      <c r="L2" s="3487"/>
      <c r="M2" s="3487"/>
      <c r="N2" s="3487"/>
      <c r="O2" s="3487"/>
      <c r="P2" s="3487"/>
      <c r="Q2" s="3487"/>
      <c r="R2" s="3487"/>
    </row>
    <row r="3" spans="1:18">
      <c r="A3" s="3017" t="s">
        <v>2499</v>
      </c>
      <c r="B3" s="3018">
        <f>项目基本情况!D3</f>
        <v>45410</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2.64</v>
      </c>
      <c r="D5" s="3022">
        <f>IF(ISERROR(ROUND(POWER(1+E5,A5-C5)*(POWER(1+E5,C5)-1)/(POWER(1+E5,A5)-1),3)),0,ROUND(POWER(1+E5,A5-C5)*(POWER(1+E5,C5)-1)/(POWER(1+E5,A5)-1),4))</f>
        <v>0.1242</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12.65</v>
      </c>
      <c r="D6" s="3022">
        <f>IF(ISERROR(ROUND(POWER(1+E6,A6-C6)*(POWER(1+E6,C6)-1)/(POWER(1+E6,A6)-1),3)),0,ROUND(POWER(1+E6,A6-C6)*(POWER(1+E6,C6)-1)/(POWER(1+E6,A6)-1),4))</f>
        <v>0.45519999999999999</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32.659999999999997</v>
      </c>
      <c r="D7" s="3022">
        <f>IF(ISERROR(ROUND(POWER(1+E7,A7-C7)*(POWER(1+E7,C7)-1)/(POWER(1+E7,A7)-1),3)),0,ROUND(POWER(1+E7,A7-C7)*(POWER(1+E7,C7)-1)/(POWER(1+E7,A7)-1),4))</f>
        <v>0.77180000000000004</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88" t="str">
        <f>IF(B10="北京市","北京市",C10)&amp;F10&amp;IF(结果表!G1="在建","出让国有建设用地使用权及在建建筑物",IF(结果表!G1="土地","出让国有建设用地使用权",))&amp;B9&amp;"预评估"</f>
        <v>北京市海淀区八里庄路62号院1号楼1层101等房地产抵押价值预评估</v>
      </c>
      <c r="C1" s="3489"/>
      <c r="D1" s="3489"/>
      <c r="E1" s="3489"/>
      <c r="F1" s="3489"/>
      <c r="G1" s="3489"/>
      <c r="H1" s="3489"/>
      <c r="I1" s="3490"/>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北京市海淀区八里庄路62号院1号楼1层101等房地产抵押价值</v>
      </c>
      <c r="T1" s="1745"/>
      <c r="U1" s="1745"/>
      <c r="V1" s="1745"/>
      <c r="W1" s="1745"/>
      <c r="X1" s="1745"/>
      <c r="Y1" s="1745"/>
      <c r="Z1" s="1745"/>
      <c r="AA1" s="1745"/>
      <c r="AB1" s="1745"/>
    </row>
    <row r="2" spans="1:30">
      <c r="A2" s="2367" t="s">
        <v>2168</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北京市海淀区八里庄路62号院1号楼1层101等房地产</v>
      </c>
      <c r="T2" s="1745"/>
      <c r="U2" s="1745"/>
      <c r="V2" s="1745"/>
      <c r="W2" s="1745"/>
      <c r="X2" s="1745"/>
      <c r="Y2" s="1745"/>
      <c r="Z2" s="1745"/>
      <c r="AA2" s="1745"/>
      <c r="AB2" s="1745"/>
    </row>
    <row r="3" spans="1:30">
      <c r="A3" s="302" t="s">
        <v>2169</v>
      </c>
      <c r="B3" s="2373">
        <v>45410</v>
      </c>
      <c r="C3" s="2374" t="s">
        <v>2170</v>
      </c>
      <c r="D3" s="2373">
        <f>B3</f>
        <v>45410</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3377</v>
      </c>
      <c r="C4" s="2376">
        <f ca="1">SUMIF(注册房地产估价师,B4,估价师及机构信息!B3:B24)</f>
        <v>1120070131</v>
      </c>
      <c r="D4" s="2375" t="s">
        <v>3378</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3373</v>
      </c>
      <c r="C8" s="2390"/>
      <c r="D8" s="3491" t="s">
        <v>2176</v>
      </c>
      <c r="E8" s="2391" t="s">
        <v>3379</v>
      </c>
      <c r="F8" s="2392"/>
      <c r="G8" s="2660"/>
      <c r="H8" s="2660"/>
      <c r="I8" s="2660"/>
      <c r="J8" s="2438"/>
      <c r="K8" s="2611"/>
      <c r="L8" s="2610"/>
      <c r="M8" s="2610"/>
      <c r="N8" s="2438"/>
      <c r="O8" s="2449"/>
      <c r="P8" s="2438"/>
      <c r="Q8" s="2438"/>
      <c r="R8" s="2438"/>
    </row>
    <row r="9" spans="1:30" ht="13.5" thickBot="1">
      <c r="A9" s="2393" t="s">
        <v>2177</v>
      </c>
      <c r="B9" s="2394" t="s">
        <v>3379</v>
      </c>
      <c r="C9" s="2395"/>
      <c r="D9" s="3492"/>
      <c r="E9" s="2394" t="s">
        <v>43</v>
      </c>
      <c r="F9" s="2396"/>
      <c r="G9" s="2662"/>
      <c r="H9" s="2662"/>
      <c r="I9" s="2662"/>
      <c r="J9" s="2438"/>
      <c r="K9" s="2613"/>
      <c r="L9" s="2610"/>
      <c r="M9" s="2610"/>
      <c r="N9" s="2438"/>
      <c r="O9" s="2449"/>
      <c r="P9" s="2438"/>
      <c r="Q9" s="2438"/>
      <c r="R9" s="2438"/>
    </row>
    <row r="10" spans="1:30" ht="13.5" thickTop="1">
      <c r="A10" s="2397" t="s">
        <v>2178</v>
      </c>
      <c r="B10" s="2398" t="s">
        <v>3380</v>
      </c>
      <c r="C10" s="2399"/>
      <c r="D10" s="2382"/>
      <c r="E10" s="2400" t="s">
        <v>2179</v>
      </c>
      <c r="F10" s="2663" t="s">
        <v>3633</v>
      </c>
      <c r="G10" s="2664"/>
      <c r="H10" s="2665"/>
      <c r="I10" s="2666"/>
      <c r="J10" s="2438"/>
      <c r="K10" s="2613"/>
      <c r="L10" s="2610"/>
      <c r="M10" s="2610"/>
      <c r="N10" s="2438"/>
      <c r="O10" s="2449"/>
      <c r="P10" s="2438"/>
      <c r="Q10" s="2438"/>
      <c r="R10" s="2438"/>
    </row>
    <row r="11" spans="1:30" ht="36">
      <c r="A11" s="2401" t="s">
        <v>2180</v>
      </c>
      <c r="B11" s="2402" t="s">
        <v>3381</v>
      </c>
      <c r="C11" s="3785" t="s">
        <v>3382</v>
      </c>
      <c r="D11" s="2403"/>
      <c r="E11" s="2370"/>
      <c r="F11" s="2370"/>
      <c r="G11" s="2370"/>
      <c r="H11" s="2370"/>
      <c r="I11" s="2370"/>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2574</v>
      </c>
      <c r="J12" s="3059"/>
      <c r="K12" s="2610"/>
      <c r="L12" s="2610"/>
      <c r="M12" s="2438"/>
      <c r="N12" s="2449"/>
      <c r="O12" s="2438"/>
      <c r="P12" s="2438"/>
      <c r="Q12" s="2438"/>
      <c r="AD12" s="1745"/>
    </row>
    <row r="13" spans="1:30">
      <c r="A13" s="3420" t="s">
        <v>3330</v>
      </c>
      <c r="B13" s="2406" t="s">
        <v>2189</v>
      </c>
      <c r="C13" s="856"/>
      <c r="D13" s="856">
        <v>52839</v>
      </c>
      <c r="E13" s="856"/>
      <c r="F13" s="856"/>
      <c r="G13" s="856"/>
      <c r="H13" s="856"/>
      <c r="I13" s="856"/>
      <c r="J13" s="3059"/>
      <c r="K13" s="2610"/>
      <c r="L13" s="2610"/>
      <c r="M13" s="2438"/>
      <c r="N13" s="2449"/>
      <c r="O13" s="2438"/>
      <c r="P13" s="2438"/>
      <c r="Q13" s="2438"/>
      <c r="AD13" s="1745"/>
    </row>
    <row r="14" spans="1:30">
      <c r="A14" s="1081"/>
      <c r="B14" s="2406" t="s">
        <v>2190</v>
      </c>
      <c r="C14" s="2407"/>
      <c r="D14" s="2407">
        <v>40</v>
      </c>
      <c r="E14" s="2407"/>
      <c r="F14" s="2407"/>
      <c r="G14" s="2407"/>
      <c r="H14" s="2407"/>
      <c r="I14" s="2407"/>
      <c r="J14" s="3060"/>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20.350000000000001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2192</v>
      </c>
      <c r="B16" s="3498"/>
      <c r="C16" s="3499"/>
      <c r="D16" s="3500"/>
      <c r="E16" s="2412" t="s">
        <v>2193</v>
      </c>
      <c r="F16" s="3501"/>
      <c r="G16" s="3502"/>
      <c r="H16" s="3502"/>
      <c r="I16" s="3503"/>
      <c r="J16" s="2438"/>
      <c r="K16" s="2614"/>
      <c r="L16" s="2450"/>
      <c r="M16" s="2450"/>
      <c r="N16" s="2506"/>
      <c r="O16" s="2450"/>
      <c r="P16" s="2506"/>
      <c r="Q16" s="2438"/>
      <c r="R16" s="2438"/>
    </row>
    <row r="17" spans="1:28">
      <c r="A17" s="313" t="s">
        <v>2194</v>
      </c>
      <c r="B17" s="302" t="s">
        <v>2195</v>
      </c>
      <c r="C17" s="8">
        <f>'数据-汇总表'!E3</f>
        <v>21318.1</v>
      </c>
      <c r="D17" s="2322" t="s">
        <v>2196</v>
      </c>
      <c r="E17" s="3504" t="s">
        <v>2197</v>
      </c>
      <c r="F17" s="3505"/>
      <c r="G17" s="3505"/>
      <c r="H17" s="3505"/>
      <c r="I17" s="3506"/>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2347.3000000000002</v>
      </c>
      <c r="D18" s="1092" t="s">
        <v>2200</v>
      </c>
      <c r="E18" s="3507" t="s">
        <v>2201</v>
      </c>
      <c r="F18" s="3508"/>
      <c r="G18" s="3508"/>
      <c r="H18" s="3508"/>
      <c r="I18" s="3509"/>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494" t="s">
        <v>2205</v>
      </c>
      <c r="C20" s="3495"/>
      <c r="D20" s="3496" t="s">
        <v>2206</v>
      </c>
      <c r="E20" s="3497"/>
      <c r="F20" s="2644" t="s">
        <v>1056</v>
      </c>
      <c r="G20" s="2661"/>
      <c r="H20" s="2661"/>
      <c r="I20" s="2661"/>
      <c r="J20" s="2438"/>
      <c r="K20" s="3493"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3383</v>
      </c>
      <c r="D21" s="1568"/>
      <c r="E21" s="2632"/>
      <c r="F21" s="2645"/>
      <c r="G21" s="2661"/>
      <c r="H21" s="2661"/>
      <c r="I21" s="2661"/>
      <c r="J21" s="2438"/>
      <c r="K21" s="34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1057</v>
      </c>
      <c r="D22" s="2660"/>
      <c r="E22" s="2660"/>
      <c r="F22" s="2660"/>
      <c r="G22" s="2661"/>
      <c r="H22" s="2661"/>
      <c r="I22" s="2661"/>
      <c r="J22" s="2438"/>
      <c r="K22" s="34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1058</v>
      </c>
      <c r="C24" s="2638"/>
      <c r="D24" s="2634" t="s">
        <v>1058</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1059</v>
      </c>
      <c r="C25" s="2638"/>
      <c r="D25" s="2634" t="s">
        <v>1059</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1060</v>
      </c>
      <c r="C26" s="2642"/>
      <c r="D26" s="2640" t="s">
        <v>1060</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1" t="s">
        <v>2212</v>
      </c>
      <c r="B27" s="320" t="s">
        <v>2213</v>
      </c>
      <c r="C27" s="2415" t="s">
        <v>3384</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1"/>
      <c r="B28" s="302" t="s">
        <v>2214</v>
      </c>
      <c r="C28" s="2417" t="s">
        <v>3385</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1"/>
      <c r="B29" s="302" t="s">
        <v>2215</v>
      </c>
      <c r="C29" s="2419" t="s">
        <v>3386</v>
      </c>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2"/>
      <c r="B30" s="302" t="s">
        <v>2216</v>
      </c>
      <c r="C30" s="3513"/>
      <c r="D30" s="3514"/>
      <c r="E30" s="2661"/>
      <c r="F30" s="2661"/>
      <c r="G30" s="2661"/>
      <c r="H30" s="2661"/>
      <c r="I30" s="2661"/>
      <c r="J30" s="2438"/>
      <c r="K30" s="2613"/>
      <c r="L30" s="2610"/>
      <c r="M30" s="2610"/>
      <c r="N30" s="2438"/>
      <c r="O30" s="2449"/>
      <c r="P30" s="2438"/>
      <c r="Q30" s="2438"/>
      <c r="R30" s="2438"/>
      <c r="S30" s="2438"/>
      <c r="T30" s="2438"/>
      <c r="U30" s="2438"/>
      <c r="V30" s="2438"/>
    </row>
    <row r="31" spans="1:28">
      <c r="A31" s="3515" t="s">
        <v>2217</v>
      </c>
      <c r="B31" s="2421" t="s">
        <v>3387</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6"/>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6"/>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t="s">
        <v>3388</v>
      </c>
      <c r="C34" s="2026" t="s">
        <v>3389</v>
      </c>
      <c r="D34" s="2026" t="s">
        <v>3390</v>
      </c>
      <c r="E34" s="2026" t="s">
        <v>3391</v>
      </c>
      <c r="F34" s="2026" t="s">
        <v>3392</v>
      </c>
      <c r="G34" s="2026" t="s">
        <v>3393</v>
      </c>
      <c r="H34" s="2026"/>
      <c r="I34" s="2661"/>
      <c r="J34" s="2438"/>
      <c r="K34" s="2426">
        <f>COUNTIF(B34:H34,"——")</f>
        <v>0</v>
      </c>
      <c r="L34" s="323" t="s">
        <v>2219</v>
      </c>
      <c r="M34" s="323" t="s">
        <v>2220</v>
      </c>
      <c r="N34" s="323" t="s">
        <v>2221</v>
      </c>
      <c r="O34" s="323" t="s">
        <v>2222</v>
      </c>
      <c r="P34" s="323" t="s">
        <v>2223</v>
      </c>
      <c r="Q34" s="323" t="s">
        <v>2224</v>
      </c>
      <c r="R34" s="323" t="s">
        <v>2225</v>
      </c>
      <c r="S34" s="3510" t="s">
        <v>2226</v>
      </c>
      <c r="T34" s="2427" t="str">
        <f>NUMBERSTRING(7-K34,1)&amp;"通"</f>
        <v>七通</v>
      </c>
      <c r="U34" s="2438"/>
      <c r="V34" s="2438"/>
    </row>
    <row r="35" spans="1:30">
      <c r="A35" s="2428"/>
      <c r="B35" s="3517" t="s">
        <v>2227</v>
      </c>
      <c r="C35" s="3517"/>
      <c r="D35" s="3517"/>
      <c r="E35" s="3517"/>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0"/>
      <c r="T35" s="329" t="str">
        <f>IF(T34="一通",L35,IF(T34="二通",M35,IF(T34="三通",N35,IF(T34="四通",O35,IF(T34="五通",P35,IF(T34="六通",Q35,R35))))))</f>
        <v>通路、通电、通讯、通上水、通下水、平整、</v>
      </c>
      <c r="U35" s="2438"/>
      <c r="V35" s="2438"/>
    </row>
    <row r="36" spans="1:30">
      <c r="A36" s="2429"/>
      <c r="B36" s="664" t="s">
        <v>2184</v>
      </c>
      <c r="C36" s="664" t="s">
        <v>2185</v>
      </c>
      <c r="D36" s="664" t="s">
        <v>2183</v>
      </c>
      <c r="E36" s="664" t="s">
        <v>2188</v>
      </c>
      <c r="F36" s="3062" t="s">
        <v>2577</v>
      </c>
      <c r="G36" s="2661"/>
      <c r="H36" s="2661"/>
      <c r="I36" s="2661"/>
      <c r="J36" s="2438"/>
      <c r="K36" s="2613"/>
      <c r="L36" s="2610"/>
      <c r="M36" s="2610"/>
      <c r="N36" s="2438"/>
      <c r="O36" s="2449"/>
      <c r="P36" s="2438"/>
      <c r="Q36" s="2438"/>
      <c r="R36" s="2438"/>
      <c r="S36" s="2438"/>
      <c r="T36" s="2438"/>
      <c r="U36" s="2438"/>
      <c r="V36" s="2438"/>
    </row>
    <row r="37" spans="1:30">
      <c r="A37" s="2627" t="s">
        <v>2228</v>
      </c>
      <c r="B37" s="2430" t="s">
        <v>110</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t="s">
        <v>157</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2347.3000000000002</v>
      </c>
      <c r="B3" s="11">
        <f>IF(C3="否",G5-AT5,G5)</f>
        <v>21318.1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21318.1</v>
      </c>
      <c r="H5" s="13">
        <f t="shared" ref="H5:AT5" si="0">SUM(H13:H656)</f>
        <v>21318.1</v>
      </c>
      <c r="I5" s="13">
        <f t="shared" si="0"/>
        <v>2933.24</v>
      </c>
      <c r="J5" s="13">
        <f t="shared" si="0"/>
        <v>0</v>
      </c>
      <c r="K5" s="13">
        <f t="shared" si="0"/>
        <v>18384.86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21318.1</v>
      </c>
      <c r="BA5" s="15">
        <f t="shared" si="1"/>
        <v>21318.1</v>
      </c>
      <c r="BB5" s="15">
        <f t="shared" si="1"/>
        <v>2933.24</v>
      </c>
      <c r="BC5" s="15">
        <f t="shared" si="1"/>
        <v>18384.86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2347.3000000000002</v>
      </c>
      <c r="F6" s="13" t="s">
        <v>0</v>
      </c>
      <c r="G6" s="13" t="s">
        <v>1</v>
      </c>
      <c r="H6" s="17">
        <f>SUMIF(I$12:AB$12,"总值",I6:AB6)</f>
        <v>2347.3000000000002</v>
      </c>
      <c r="I6" s="13">
        <f t="shared" ref="I6:AB6" si="2">ROUND($A$3*I5/$B$3,2)</f>
        <v>322.97000000000003</v>
      </c>
      <c r="J6" s="13">
        <f t="shared" si="2"/>
        <v>0</v>
      </c>
      <c r="K6" s="13">
        <f t="shared" si="2"/>
        <v>2024.33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2347.3000000000002</v>
      </c>
      <c r="AZ6" s="13" t="s">
        <v>2</v>
      </c>
      <c r="BA6" s="13">
        <f>ROUND($AY$6*BA5/$AZ$5,2)</f>
        <v>2347.3000000000002</v>
      </c>
      <c r="BB6" s="13">
        <f>ROUND($AY$6*BB5/$AZ$5,2)</f>
        <v>322.97000000000003</v>
      </c>
      <c r="BC6" s="13">
        <f t="shared" ref="BC6:BH6" si="4">ROUND($AY$6*BC5/$AZ$5,2)</f>
        <v>2024.33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3396</v>
      </c>
      <c r="J9" s="809"/>
      <c r="K9" s="1603" t="s">
        <v>3398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
        <v>3394</v>
      </c>
      <c r="D13" s="1625" t="s">
        <v>3395</v>
      </c>
      <c r="E13" s="13">
        <f>IF($C$3="是",ROUND($A$3*G13/$B$3,2),ROUND($A$3*(G13-AT13)/$B$3,2))</f>
        <v>322.97000000000003</v>
      </c>
      <c r="F13" s="29"/>
      <c r="G13" s="30">
        <f>H13+AC13+AT13</f>
        <v>2933.24</v>
      </c>
      <c r="H13" s="17">
        <f>SUMIF(I$12:AB$12,"总值",I13:AB13)</f>
        <v>2933.24</v>
      </c>
      <c r="I13" s="1626">
        <v>2933.24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1号楼1层101</v>
      </c>
      <c r="AY13" s="1349">
        <f>ROUND($AY$6*AZ13/$AZ$5,2)</f>
        <v>322.97000000000003</v>
      </c>
      <c r="AZ13" s="13">
        <f>BA13+BL13</f>
        <v>2933.24</v>
      </c>
      <c r="BA13" s="13">
        <f>SUM(BB13:BK13)</f>
        <v>2933.24</v>
      </c>
      <c r="BB13" s="13">
        <f>IF($D13="是",I13-J13,0)</f>
        <v>2933.24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c r="C14" s="1570" t="s">
        <v>3397</v>
      </c>
      <c r="D14" s="1625" t="s">
        <v>3395</v>
      </c>
      <c r="E14" s="13">
        <f>IF($C$3="是",ROUND($A$3*G14/$B$3,2),ROUND($A$3*(G14-AT14)/$B$3,2))</f>
        <v>2024.33</v>
      </c>
      <c r="F14" s="29"/>
      <c r="G14" s="30">
        <f>H14+AC14+AT14</f>
        <v>18384.86</v>
      </c>
      <c r="H14" s="17">
        <f>SUMIF(I$12:AB$12,"总值",I14:AB14)</f>
        <v>18384.86</v>
      </c>
      <c r="I14" s="1626"/>
      <c r="J14" s="1626"/>
      <c r="K14" s="1626">
        <v>18384.86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1号楼-1层-101</v>
      </c>
      <c r="AY14" s="1349">
        <f>ROUND($AY$6*AZ14/$AZ$5,2)</f>
        <v>2024.33</v>
      </c>
      <c r="AZ14" s="13">
        <f>BA14+BL14</f>
        <v>18384.86</v>
      </c>
      <c r="BA14" s="13">
        <f>SUM(BB14:BK14)</f>
        <v>18384.86</v>
      </c>
      <c r="BB14" s="13">
        <f>IF($D14="是",I14-J14,0)</f>
        <v>0</v>
      </c>
      <c r="BC14" s="13">
        <f>IF($D14="是",K14-L14,0)</f>
        <v>18384.86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L43" sqref="L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27" t="s">
        <v>1130</v>
      </c>
      <c r="B2" s="3527"/>
      <c r="C2" s="3527"/>
      <c r="D2" s="796" t="s">
        <v>1106</v>
      </c>
      <c r="E2" s="1639" t="s">
        <v>1107</v>
      </c>
      <c r="F2" s="2656"/>
      <c r="G2" s="2647"/>
      <c r="H2" s="2648"/>
      <c r="I2" s="2325" t="s">
        <v>1131</v>
      </c>
      <c r="J2" s="2656"/>
      <c r="K2" s="2656"/>
      <c r="L2" s="2656"/>
      <c r="M2" s="2656"/>
      <c r="N2" s="2658"/>
      <c r="O2" s="2656"/>
      <c r="P2" s="2656"/>
    </row>
    <row r="3" spans="1:16" ht="15.75" thickBot="1">
      <c r="A3" s="3528" t="s">
        <v>1104</v>
      </c>
      <c r="B3" s="3528"/>
      <c r="C3" s="3528"/>
      <c r="D3" s="43">
        <f>'数据-基础表'!AY6</f>
        <v>2347.3000000000002</v>
      </c>
      <c r="E3" s="43">
        <f>'数据-基础表'!AZ5</f>
        <v>21318.1</v>
      </c>
      <c r="F3" s="2656"/>
      <c r="G3" s="1145"/>
      <c r="H3" s="1026" t="s">
        <v>1105</v>
      </c>
      <c r="I3" s="855">
        <f>ROUND('数据-基础表'!B3/'数据-基础表'!A3,2)</f>
        <v>9.08</v>
      </c>
      <c r="J3" s="2656"/>
      <c r="K3" s="2656"/>
      <c r="L3" s="2656"/>
      <c r="M3" s="2656"/>
      <c r="N3" s="2658"/>
      <c r="O3" s="2656"/>
      <c r="P3" s="2656"/>
    </row>
    <row r="4" spans="1:16" ht="15">
      <c r="A4" s="3529"/>
      <c r="B4" s="3530"/>
      <c r="C4" s="3531"/>
      <c r="D4" s="1641" t="s">
        <v>1106</v>
      </c>
      <c r="E4" s="1642" t="s">
        <v>1107</v>
      </c>
      <c r="F4" s="2656"/>
      <c r="G4" s="2649" t="s">
        <v>1132</v>
      </c>
      <c r="H4" s="1026" t="s">
        <v>1112</v>
      </c>
      <c r="I4" s="855">
        <f>ROUND(SUMIF('数据-基础表'!I9:AS9,"地上",'数据-基础表'!I5:AS5)/'数据-基础表'!A3,2)</f>
        <v>1.25</v>
      </c>
      <c r="J4" s="2656"/>
      <c r="K4" s="2656"/>
      <c r="L4" s="2656"/>
      <c r="M4" s="2656"/>
      <c r="N4" s="2658"/>
      <c r="O4" s="2656"/>
      <c r="P4" s="2656"/>
    </row>
    <row r="5" spans="1:16">
      <c r="A5" s="44" t="s">
        <v>1108</v>
      </c>
      <c r="B5" s="3532" t="s">
        <v>1109</v>
      </c>
      <c r="C5" s="3532"/>
      <c r="D5" s="45">
        <f>ROUND($D$3*E5/$E$3,2)</f>
        <v>0</v>
      </c>
      <c r="E5" s="46">
        <f>SUMIF('数据-基础表'!$11:$11,"住宅",'数据-基础表'!$5:$5)</f>
        <v>0</v>
      </c>
      <c r="F5" s="2656"/>
      <c r="G5" s="1145"/>
      <c r="H5" s="1026" t="s">
        <v>1105</v>
      </c>
      <c r="I5" s="855">
        <f>ROUND(E31/D31,2)</f>
        <v>9.08</v>
      </c>
      <c r="J5" s="2656"/>
      <c r="K5" s="2656"/>
      <c r="L5" s="2656"/>
      <c r="M5" s="2656"/>
      <c r="N5" s="2656"/>
      <c r="O5" s="2656"/>
      <c r="P5" s="2656"/>
    </row>
    <row r="6" spans="1:16" ht="15" thickBot="1">
      <c r="A6" s="1644"/>
      <c r="B6" s="3532" t="s">
        <v>1110</v>
      </c>
      <c r="C6" s="3532"/>
      <c r="D6" s="45">
        <f>ROUND($D$3*E6/$E$3,2)</f>
        <v>2347.3000000000002</v>
      </c>
      <c r="E6" s="46">
        <f>E3-E5</f>
        <v>21318.1</v>
      </c>
      <c r="F6" s="2656"/>
      <c r="G6" s="2650" t="s">
        <v>1111</v>
      </c>
      <c r="H6" s="1146" t="s">
        <v>1112</v>
      </c>
      <c r="I6" s="2651">
        <f>ROUND(F31/D31,2)</f>
        <v>1.25</v>
      </c>
      <c r="J6" s="2656"/>
      <c r="K6" s="2656"/>
      <c r="L6" s="2656"/>
      <c r="M6" s="2656"/>
      <c r="N6" s="2656"/>
      <c r="O6" s="2656"/>
      <c r="P6" s="2656"/>
    </row>
    <row r="7" spans="1:16" ht="15.75" thickBot="1">
      <c r="A7" s="3524"/>
      <c r="B7" s="3525"/>
      <c r="C7" s="3526"/>
      <c r="D7" s="1641" t="s">
        <v>1106</v>
      </c>
      <c r="E7" s="1645"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322.97000000000003</v>
      </c>
      <c r="E8" s="48">
        <f>SUMIF('数据-基础表'!BB10:BK10,"地上",'数据-基础表'!BB5:BK5)</f>
        <v>2933.24</v>
      </c>
      <c r="F8" s="2656"/>
      <c r="G8" s="2657"/>
      <c r="H8" s="2657"/>
      <c r="I8" s="2656"/>
      <c r="J8" s="2656"/>
      <c r="K8" s="2656"/>
      <c r="L8" s="2656"/>
      <c r="M8" s="2656"/>
      <c r="N8" s="2656"/>
      <c r="O8" s="2656"/>
      <c r="P8" s="2656"/>
    </row>
    <row r="9" spans="1:16">
      <c r="A9" s="1646"/>
      <c r="B9" s="1647"/>
      <c r="C9" s="45" t="s">
        <v>1118</v>
      </c>
      <c r="D9" s="45">
        <f t="shared" si="0"/>
        <v>0</v>
      </c>
      <c r="E9" s="49">
        <v>0</v>
      </c>
      <c r="F9" s="2656"/>
      <c r="G9" s="2657"/>
      <c r="H9" s="2657"/>
      <c r="I9" s="2656"/>
      <c r="J9" s="2656"/>
      <c r="K9" s="2656"/>
      <c r="L9" s="2656"/>
      <c r="M9" s="2656"/>
      <c r="N9" s="2656"/>
      <c r="O9" s="2656"/>
      <c r="P9" s="2656"/>
    </row>
    <row r="10" spans="1:16">
      <c r="A10" s="1646"/>
      <c r="B10" s="1647"/>
      <c r="C10" s="45" t="s">
        <v>1127</v>
      </c>
      <c r="D10" s="45">
        <f t="shared" si="0"/>
        <v>2024.33</v>
      </c>
      <c r="E10" s="48">
        <f>SUMPRODUCT(('数据-基础表'!BB10:BK10="地下")*('数据-基础表'!BB11:BK11="商业")*('数据-基础表'!BB5:BK5))</f>
        <v>18384.86</v>
      </c>
      <c r="F10" s="2656"/>
      <c r="G10" s="2657"/>
      <c r="H10" s="2657"/>
      <c r="I10" s="2656"/>
      <c r="J10" s="2656"/>
      <c r="K10" s="2656"/>
      <c r="L10" s="2656"/>
      <c r="M10" s="2656"/>
      <c r="N10" s="2656"/>
      <c r="O10" s="2656"/>
      <c r="P10" s="2656"/>
    </row>
    <row r="11" spans="1:16">
      <c r="A11" s="1646"/>
      <c r="B11" s="1647"/>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1122</v>
      </c>
      <c r="D16" s="47">
        <f>SUM(D8:D15)</f>
        <v>2347.3000000000002</v>
      </c>
      <c r="E16" s="50">
        <f>SUM(E8:E15)</f>
        <v>21318.1</v>
      </c>
      <c r="F16" s="2656"/>
      <c r="G16" s="2657"/>
      <c r="H16" s="1648" t="s">
        <v>1134</v>
      </c>
      <c r="I16" s="1649"/>
      <c r="J16" s="1139"/>
      <c r="K16" s="3521" t="s">
        <v>1134</v>
      </c>
      <c r="L16" s="3522"/>
      <c r="M16" s="3522"/>
      <c r="N16" s="3522"/>
      <c r="O16" s="3522"/>
      <c r="P16" s="3523"/>
    </row>
    <row r="17" spans="1:19" ht="15">
      <c r="A17" s="1650" t="s">
        <v>1135</v>
      </c>
      <c r="B17" s="1651" t="s">
        <v>1136</v>
      </c>
      <c r="C17" s="1652" t="s">
        <v>1137</v>
      </c>
      <c r="D17" s="1653" t="s">
        <v>1125</v>
      </c>
      <c r="E17" s="1654" t="s">
        <v>1126</v>
      </c>
      <c r="F17" s="1655"/>
      <c r="G17" s="1656"/>
      <c r="H17" s="1657" t="s">
        <v>1138</v>
      </c>
      <c r="I17" s="1658" t="s">
        <v>1123</v>
      </c>
      <c r="J17" s="1139"/>
      <c r="K17" s="3518" t="s">
        <v>1139</v>
      </c>
      <c r="L17" s="3519"/>
      <c r="M17" s="3520"/>
      <c r="N17" s="3518" t="s">
        <v>1140</v>
      </c>
      <c r="O17" s="3519"/>
      <c r="P17" s="352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3399</v>
      </c>
      <c r="D19" s="45">
        <f>ROUND($D$3*E19/$E$3,2)</f>
        <v>2347.3000000000002</v>
      </c>
      <c r="E19" s="53">
        <f t="shared" ref="E19:E26" si="1">SUM(F19:G19)</f>
        <v>21318.1</v>
      </c>
      <c r="F19" s="2792">
        <f>'数据-基础表'!I5</f>
        <v>2933.24</v>
      </c>
      <c r="G19" s="2793">
        <f>'数据-基础表'!K5</f>
        <v>18384.86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2347.3000000000002</v>
      </c>
      <c r="S19" s="1027">
        <f t="shared" si="5"/>
        <v>21318.1</v>
      </c>
    </row>
    <row r="20" spans="1:19">
      <c r="A20" s="1670"/>
      <c r="B20" s="47" t="s">
        <v>1152</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2347.3000000000002</v>
      </c>
      <c r="E27" s="1141">
        <f>IF(SUM(E19:E26)='数据-基础表'!BA5,SUM(E19:E26),IF(F27="地上面积有误","面积有误","地下面积有误"))</f>
        <v>21318.1</v>
      </c>
      <c r="F27" s="1140">
        <f>IF(SUM(F19:F26)=E8,SUM(F19:F26),"地上面积有误")</f>
        <v>2933.24</v>
      </c>
      <c r="G27" s="1142">
        <f>SUM(G19:G26)</f>
        <v>18384.86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2347.3000000000002</v>
      </c>
      <c r="S27" s="1026">
        <f>IF(SUM(S19:S26)=$E$3,SUM(S19:S26),SUM(S19:S26)&amp;"误差"&amp;ROUND(SUM(S19:S26)-E3,2))</f>
        <v>21318.1</v>
      </c>
    </row>
    <row r="28" spans="1:19">
      <c r="A28" s="1670"/>
      <c r="B28" s="47" t="s">
        <v>1154</v>
      </c>
      <c r="C28" s="1038"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1154</v>
      </c>
      <c r="C29" s="1674"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1153</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1157</v>
      </c>
      <c r="D31" s="676">
        <f>D27+D30</f>
        <v>2347.3000000000002</v>
      </c>
      <c r="E31" s="676">
        <f>E27+E30</f>
        <v>21318.1</v>
      </c>
      <c r="F31" s="677">
        <f>F27+F30</f>
        <v>2933.24</v>
      </c>
      <c r="G31" s="678">
        <f>G27+G30</f>
        <v>18384.86</v>
      </c>
      <c r="H31" s="2656"/>
      <c r="I31" s="2656"/>
      <c r="J31" s="2656"/>
      <c r="K31" s="2656"/>
      <c r="L31" s="2656"/>
      <c r="M31" s="2656"/>
      <c r="N31" s="2656"/>
      <c r="O31" s="2656"/>
      <c r="P31" s="2656"/>
    </row>
    <row r="32" spans="1:19">
      <c r="A32" s="1643"/>
      <c r="B32" s="1643" t="s">
        <v>1158</v>
      </c>
      <c r="C32" s="1643"/>
      <c r="D32" s="1643"/>
      <c r="E32" s="1053">
        <f>SUMIF(C19:C26,"*住宅*",E19:E26)</f>
        <v>0</v>
      </c>
      <c r="F32" s="1643"/>
      <c r="G32" s="1643"/>
      <c r="H32" s="2656"/>
      <c r="I32" s="2656"/>
      <c r="J32" s="2656"/>
      <c r="K32" s="2656"/>
      <c r="L32" s="2656"/>
      <c r="M32" s="2656"/>
      <c r="N32" s="2656"/>
      <c r="O32" s="2656"/>
      <c r="P32" s="2656"/>
    </row>
    <row r="33" spans="4:9">
      <c r="D33" s="1678"/>
    </row>
    <row r="36" spans="4:9">
      <c r="E36" s="3789" t="s">
        <v>3418</v>
      </c>
      <c r="F36" s="1638">
        <v>40000</v>
      </c>
      <c r="G36" s="1638">
        <f>F36*0.3</f>
        <v>12000</v>
      </c>
      <c r="I36" s="3789" t="s">
        <v>3420</v>
      </c>
    </row>
    <row r="37" spans="4:9">
      <c r="E37" s="3789" t="s">
        <v>3419</v>
      </c>
      <c r="F37" s="1638">
        <f>ROUND(F36*F31/10000,0)</f>
        <v>11733</v>
      </c>
      <c r="G37" s="1638">
        <f>ROUND(G36*G31/10000,0)</f>
        <v>22062</v>
      </c>
      <c r="H37" s="1638">
        <f>G37+F37</f>
        <v>33795</v>
      </c>
      <c r="I37" s="1638">
        <f ca="1">结果表!G19</f>
        <v>32364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X24" sqref="X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45410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52839</v>
      </c>
      <c r="F6" s="64">
        <f>SUMIF(项目基本情况!C$12:I$12,C6,项目基本情况!C$15:I$15)</f>
        <v>20.350000000000001</v>
      </c>
      <c r="G6" s="65">
        <f>IF(ISERROR(ROUND(POWER(1+H6,D6-F6)*(POWER(1+H6,F6)-1)/(POWER(1+H6,D6)-1),3)),0,ROUND(POWER(1+H6,D6-F6)*(POWER(1+H6,F6)-1)/(POWER(1+H6,D6)-1),3))</f>
        <v>0.752</v>
      </c>
      <c r="H6" s="732">
        <v>5.5E-2</v>
      </c>
      <c r="I6" s="732">
        <v>0.06</v>
      </c>
      <c r="J6" s="66">
        <v>7.0000000000000007E-2</v>
      </c>
      <c r="K6" s="1030">
        <f>SUMIF('数据-汇总表'!C$19:C$33,A6,'数据-汇总表'!E$19:E$33)</f>
        <v>21318.1</v>
      </c>
      <c r="L6" s="733">
        <v>5000</v>
      </c>
      <c r="M6" s="67">
        <f t="shared" ref="M6:M14" si="0">ROUND(K6*L6/10000,0)</f>
        <v>10659</v>
      </c>
      <c r="N6" s="731">
        <v>0.8</v>
      </c>
      <c r="O6" s="67" t="str">
        <f>IF($N$5="成新度","——",ROUND(M6*N6,0))</f>
        <v>——</v>
      </c>
      <c r="P6" s="68" t="str">
        <f>IF($N$5="成新度","——",M6-O6)</f>
        <v>——</v>
      </c>
      <c r="Q6" s="734">
        <v>0.2</v>
      </c>
      <c r="R6" s="69">
        <f ca="1">SUMIF('数据-汇总表'!C$19:C$33,A6,'数据-汇总表'!R$19:R$27)</f>
        <v>2347.3000000000002</v>
      </c>
      <c r="S6" s="51">
        <f>IF('数据-汇总表'!$I$17="按面积比例",SUMIF('数据-汇总表'!C$19:C$33,A6,'数据-汇总表'!K$19:K$33),SUMIF('数据-汇总表'!C$19:C$33,A6,'数据-汇总表'!N$19:N$33))</f>
        <v>0</v>
      </c>
      <c r="T6" s="1172">
        <f>ROUND($L$14*S6/10000,0)</f>
        <v>0</v>
      </c>
      <c r="U6" s="3425">
        <v>3.5</v>
      </c>
      <c r="V6" s="70">
        <v>1.4999999999999999E-2</v>
      </c>
      <c r="W6" s="70">
        <v>0</v>
      </c>
      <c r="X6" s="1040"/>
      <c r="Y6" s="71">
        <f>N6</f>
        <v>0.8</v>
      </c>
      <c r="Z6" s="72"/>
      <c r="AA6" s="66"/>
      <c r="AB6" s="66"/>
      <c r="AC6" s="1040"/>
      <c r="AD6" s="73"/>
      <c r="AE6" s="1041">
        <f ca="1">IF(AN6="",0,SUMIF(INDIRECT("'"&amp;AN6&amp;"'"&amp;"!E:E"),$AE$5,INDIRECT("'"&amp;AN6&amp;"'"&amp;"!F:F")))</f>
        <v>20.350000000000001</v>
      </c>
      <c r="AF6" s="1348"/>
      <c r="AG6" s="138">
        <f>IF(AF6="",0,AE6-AF6)</f>
        <v>0</v>
      </c>
      <c r="AH6" s="74"/>
      <c r="AI6" s="76">
        <v>365</v>
      </c>
      <c r="AJ6" s="77"/>
      <c r="AK6" s="78">
        <v>0.01</v>
      </c>
      <c r="AL6" s="79">
        <v>1.5E-3</v>
      </c>
      <c r="AM6" s="80">
        <v>0.01</v>
      </c>
      <c r="AN6" s="1715" t="s">
        <v>3401</v>
      </c>
      <c r="AO6" s="52">
        <f ca="1">SUMIF(INDIRECT("'"&amp;AN6&amp;"'"&amp;"!A:A"),"总价",INDIRECT("'"&amp;AN6&amp;"'"&amp;"!B:B"))</f>
        <v>28535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0.752</v>
      </c>
      <c r="H16" s="90">
        <f>ROUND(SUMPRODUCT(H6:H13,K6:K13)/SUMPRODUCT((H6:H13&gt;0)*(K6:K13)),3)</f>
        <v>5.5E-2</v>
      </c>
      <c r="I16" s="91"/>
      <c r="J16" s="91"/>
      <c r="K16" s="92">
        <f>SUM(K6:K15)</f>
        <v>21318.1</v>
      </c>
      <c r="L16" s="93">
        <f>ROUND(M16*10000/SUM(K6:K14),0)</f>
        <v>5000</v>
      </c>
      <c r="M16" s="93">
        <f>SUM(M6:M14)</f>
        <v>10659</v>
      </c>
      <c r="N16" s="94">
        <f>ROUND(SUMPRODUCT(M6:M14,N6:N14)/M16,3)</f>
        <v>0.8</v>
      </c>
      <c r="O16" s="93">
        <f>SUM(O6:O14)</f>
        <v>0</v>
      </c>
      <c r="P16" s="93">
        <f>SUM(P6:P14)</f>
        <v>0</v>
      </c>
      <c r="Q16" s="95">
        <f>ROUND(SUMPRODUCT(Q6:Q13,K6:K13)/SUMPRODUCT((Q6:Q13&gt;0)*(K6:K13)),2)</f>
        <v>0.2</v>
      </c>
      <c r="R16" s="1034">
        <f ca="1">SUM(R6:R13)</f>
        <v>2347.3000000000002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3792" t="s">
        <v>3629</v>
      </c>
      <c r="T17" s="3793" t="s">
        <v>3627</v>
      </c>
      <c r="U17" s="3793">
        <v>3.5</v>
      </c>
      <c r="V17" s="3793" t="s">
        <v>3630</v>
      </c>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t="s">
        <v>3628</v>
      </c>
      <c r="U18" s="1681"/>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426</v>
      </c>
      <c r="C29" s="2799" t="s">
        <v>2288</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2289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2290</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800" t="s">
        <v>2292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0.03</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0.03</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110</v>
      </c>
      <c r="C53" s="2658" t="s">
        <v>1245</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3" t="s">
        <v>2280</v>
      </c>
      <c r="B1" s="3534"/>
      <c r="C1" s="3534"/>
      <c r="D1" s="3534"/>
      <c r="E1" s="3534"/>
      <c r="F1" s="3534"/>
      <c r="G1" s="353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786" t="s">
        <v>3403</v>
      </c>
      <c r="D3" s="2463"/>
      <c r="E3" s="2441" t="s">
        <v>2278</v>
      </c>
      <c r="F3" s="2464" t="s">
        <v>2251</v>
      </c>
      <c r="G3" s="2465" t="s">
        <v>2279</v>
      </c>
      <c r="H3" s="799"/>
      <c r="I3" s="799"/>
      <c r="J3" s="799"/>
      <c r="K3" s="799"/>
      <c r="L3" s="799"/>
      <c r="M3" s="799"/>
      <c r="N3" s="799"/>
      <c r="O3" s="799"/>
      <c r="P3" s="799"/>
      <c r="Q3" s="799"/>
      <c r="R3" s="799"/>
    </row>
    <row r="4" spans="1:29" ht="36">
      <c r="A4" s="2441"/>
      <c r="B4" s="323" t="s">
        <v>2252</v>
      </c>
      <c r="C4" s="3787" t="s">
        <v>3404</v>
      </c>
      <c r="D4" s="2463"/>
      <c r="E4" s="2466"/>
      <c r="F4" s="1373" t="s">
        <v>2253</v>
      </c>
      <c r="G4" s="2467" t="s">
        <v>2254</v>
      </c>
      <c r="H4" s="799"/>
      <c r="I4" s="799"/>
      <c r="J4" s="799"/>
      <c r="K4" s="799"/>
      <c r="L4" s="799"/>
      <c r="M4" s="799"/>
      <c r="N4" s="799"/>
      <c r="O4" s="799"/>
      <c r="P4" s="799"/>
      <c r="Q4" s="799"/>
      <c r="R4" s="799"/>
    </row>
    <row r="5" spans="1:29" ht="24">
      <c r="A5" s="2441"/>
      <c r="B5" s="323" t="s">
        <v>2255</v>
      </c>
      <c r="C5" s="3787" t="s">
        <v>3404</v>
      </c>
      <c r="D5" s="2463"/>
      <c r="E5" s="2466"/>
      <c r="F5" s="323" t="s">
        <v>2256</v>
      </c>
      <c r="G5" s="2467" t="s">
        <v>2257</v>
      </c>
      <c r="H5" s="799"/>
      <c r="I5" s="799"/>
      <c r="J5" s="799"/>
      <c r="K5" s="799"/>
      <c r="L5" s="799"/>
      <c r="M5" s="799"/>
      <c r="N5" s="799"/>
      <c r="O5" s="799"/>
      <c r="P5" s="799"/>
      <c r="Q5" s="799"/>
      <c r="R5" s="799"/>
    </row>
    <row r="6" spans="1:29">
      <c r="A6" s="2441"/>
      <c r="B6" s="323" t="s">
        <v>2258</v>
      </c>
      <c r="C6" s="3788" t="s">
        <v>3405</v>
      </c>
      <c r="D6" s="2463"/>
      <c r="E6" s="2466"/>
      <c r="F6" s="323" t="s">
        <v>2259</v>
      </c>
      <c r="G6" s="2467" t="s">
        <v>2260</v>
      </c>
      <c r="H6" s="799"/>
      <c r="I6" s="799"/>
      <c r="J6" s="799"/>
      <c r="K6" s="799"/>
      <c r="L6" s="799"/>
      <c r="M6" s="799"/>
      <c r="N6" s="799"/>
      <c r="O6" s="799"/>
      <c r="P6" s="799"/>
      <c r="Q6" s="799"/>
      <c r="R6" s="799"/>
    </row>
    <row r="7" spans="1:29" ht="24.75" thickBot="1">
      <c r="A7" s="2441"/>
      <c r="B7" s="323" t="s">
        <v>2256</v>
      </c>
      <c r="C7" s="3788" t="s">
        <v>3405</v>
      </c>
      <c r="D7" s="2468"/>
      <c r="E7" s="2469"/>
      <c r="F7" s="2470" t="s">
        <v>2261</v>
      </c>
      <c r="G7" s="2471" t="s">
        <v>2262</v>
      </c>
      <c r="H7" s="799"/>
      <c r="I7" s="799"/>
      <c r="J7" s="799"/>
      <c r="K7" s="799"/>
      <c r="L7" s="799"/>
      <c r="M7" s="799"/>
      <c r="N7" s="799"/>
      <c r="O7" s="799"/>
      <c r="P7" s="799"/>
      <c r="Q7" s="799"/>
      <c r="R7" s="799"/>
    </row>
    <row r="8" spans="1:29">
      <c r="A8" s="2441"/>
      <c r="B8" s="323" t="s">
        <v>2259</v>
      </c>
      <c r="C8" s="3788" t="s">
        <v>3406</v>
      </c>
      <c r="D8" s="2468"/>
      <c r="E8" s="2468"/>
      <c r="F8" s="2472"/>
      <c r="G8" s="2472"/>
      <c r="H8" s="799"/>
      <c r="I8" s="799"/>
      <c r="J8" s="799"/>
      <c r="K8" s="799"/>
      <c r="L8" s="799"/>
      <c r="M8" s="799"/>
      <c r="N8" s="799"/>
      <c r="O8" s="799"/>
      <c r="P8" s="799"/>
      <c r="Q8" s="799"/>
      <c r="R8" s="799"/>
    </row>
    <row r="9" spans="1:29">
      <c r="A9" s="2441"/>
      <c r="B9" s="323" t="s">
        <v>2263</v>
      </c>
      <c r="C9" s="3787" t="s">
        <v>3405</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51">
      <c r="A15" s="2443" t="s">
        <v>2267</v>
      </c>
      <c r="B15" s="2494" t="s">
        <v>2250</v>
      </c>
      <c r="C15" s="2495" t="str">
        <f>C3</f>
        <v>较好</v>
      </c>
      <c r="D15" s="2463"/>
      <c r="E15" s="2444" t="s">
        <v>2268</v>
      </c>
      <c r="F15" s="2494" t="s">
        <v>2269</v>
      </c>
      <c r="G15" s="2496" t="str">
        <f>G3</f>
        <v>估价对象位于XX开发区，园区建设成熟度XX，产业集聚程度XX</v>
      </c>
    </row>
    <row r="16" spans="1:29" ht="38.25">
      <c r="A16" s="2445"/>
      <c r="B16" s="2497" t="s">
        <v>2252</v>
      </c>
      <c r="C16" s="2498" t="str">
        <f>C4</f>
        <v>较好</v>
      </c>
      <c r="D16" s="2463"/>
      <c r="E16" s="2446"/>
      <c r="F16" s="2499" t="s">
        <v>2253</v>
      </c>
      <c r="G16" s="2500" t="str">
        <f>G4</f>
        <v>估价对象周边道路状况、公共交通通达情况、停车便捷程度，综合评价交通便捷度较好</v>
      </c>
    </row>
    <row r="17" spans="1:18" ht="38.25">
      <c r="A17" s="2445"/>
      <c r="B17" s="2497" t="s">
        <v>2255</v>
      </c>
      <c r="C17" s="2498" t="str">
        <f>C5</f>
        <v>较好</v>
      </c>
      <c r="D17" s="2468"/>
      <c r="E17" s="2446"/>
      <c r="F17" s="2499" t="s">
        <v>2270</v>
      </c>
      <c r="G17" s="2501"/>
    </row>
    <row r="18" spans="1:18" ht="38.2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ht="25.5">
      <c r="A20" s="2445"/>
      <c r="B20" s="2499" t="s">
        <v>2272</v>
      </c>
      <c r="C20" s="2498" t="str">
        <f>C9</f>
        <v>较好</v>
      </c>
      <c r="D20" s="2468"/>
      <c r="E20" s="2446"/>
      <c r="F20" s="323" t="s">
        <v>2259</v>
      </c>
      <c r="G20" s="2500" t="str">
        <f>G6</f>
        <v>估价对象所在区域基础设施水平</v>
      </c>
    </row>
    <row r="21" spans="1:18" ht="25.5">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zoomScaleSheetLayoutView="80" workbookViewId="0">
      <selection activeCell="C28" sqref="C2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21318.1</v>
      </c>
      <c r="C1" s="2683"/>
      <c r="D1" s="2683"/>
      <c r="E1" s="2683"/>
      <c r="F1" s="2683"/>
      <c r="G1" s="2684"/>
      <c r="H1" s="2685"/>
      <c r="I1" s="2685"/>
      <c r="J1" s="2685"/>
      <c r="K1" s="2685"/>
    </row>
    <row r="2" spans="1:11" ht="16.5">
      <c r="A2" s="2509" t="s">
        <v>653</v>
      </c>
      <c r="B2" s="2509">
        <f>SUM(C14:C23)</f>
        <v>2347.3000000000002</v>
      </c>
      <c r="C2" s="2683"/>
      <c r="D2" s="2683"/>
      <c r="E2" s="2683"/>
      <c r="F2" s="2683"/>
      <c r="G2" s="2684"/>
      <c r="H2" s="2685"/>
      <c r="I2" s="2685"/>
      <c r="J2" s="2685"/>
      <c r="K2" s="2685"/>
    </row>
    <row r="3" spans="1:11" ht="16.5">
      <c r="A3" s="2509" t="s">
        <v>662</v>
      </c>
      <c r="B3" s="2511">
        <f>项目基本情况!D3</f>
        <v>45410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32364</v>
      </c>
      <c r="C5" s="2509">
        <f ca="1">IF(B5=D14,结果表!H102,ROUND(B5*10000/$B$1,0))</f>
        <v>15181</v>
      </c>
      <c r="D5" s="2509">
        <f ca="1">ROUND(B5*10000/$B$2,0)</f>
        <v>137878</v>
      </c>
      <c r="E5" s="2683"/>
      <c r="F5" s="2684"/>
      <c r="G5" s="2684"/>
      <c r="H5" s="2685"/>
      <c r="I5" s="2685"/>
      <c r="J5" s="2685"/>
      <c r="K5" s="2685"/>
    </row>
    <row r="6" spans="1:11" ht="16.5">
      <c r="A6" s="2509" t="s">
        <v>656</v>
      </c>
      <c r="B6" s="2509">
        <f ca="1">SUM(G14:G23)</f>
        <v>32364</v>
      </c>
      <c r="C6" s="2509">
        <f ca="1">IF(B6=G14,结果表!H108,ROUND(B6*10000/$B$1,0))</f>
        <v>15181</v>
      </c>
      <c r="D6" s="2509">
        <f ca="1">ROUND(B6*10000/$B$2,0)</f>
        <v>137878</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21318.1</v>
      </c>
      <c r="C14" s="2515">
        <f>结果表!C118</f>
        <v>2347.3000000000002</v>
      </c>
      <c r="D14" s="2515">
        <f ca="1">结果表!H101</f>
        <v>32364</v>
      </c>
      <c r="E14" s="2515">
        <f ca="1">ROUND(D14*10000/B14,0)</f>
        <v>15181</v>
      </c>
      <c r="F14" s="2515">
        <f ca="1">ROUND(D14*10000/C14,0)</f>
        <v>137878</v>
      </c>
      <c r="G14" s="2515">
        <f ca="1">D14</f>
        <v>32364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8" spans="1:11">
      <c r="C28" s="2510" t="s">
        <v>3632</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90" zoomScaleNormal="100" zoomScaleSheetLayoutView="9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02" t="str">
        <f>项目基本情况!S2</f>
        <v>北京市海淀区八里庄路62号院1号楼1层101等房地产</v>
      </c>
      <c r="B2" s="3603"/>
      <c r="C2" s="3603"/>
      <c r="D2" s="3603"/>
      <c r="E2" s="3603"/>
      <c r="F2" s="3603"/>
      <c r="G2" s="3603"/>
      <c r="H2" s="3603"/>
      <c r="I2" s="3604"/>
    </row>
    <row r="3" spans="1:12" ht="12.75">
      <c r="A3" s="3606" t="s">
        <v>1263</v>
      </c>
      <c r="B3" s="3607"/>
      <c r="C3" s="3607"/>
      <c r="D3" s="3607"/>
      <c r="E3" s="3607"/>
      <c r="F3" s="3607"/>
      <c r="G3" s="3607"/>
      <c r="H3" s="3607"/>
      <c r="I3" s="3607"/>
    </row>
    <row r="4" spans="1:12" ht="14.25">
      <c r="A4" s="1754" t="s">
        <v>1264</v>
      </c>
      <c r="B4" s="1755" t="s">
        <v>1265</v>
      </c>
      <c r="C4" s="1756" t="s">
        <v>3417</v>
      </c>
      <c r="D4" s="1756" t="s">
        <v>3401</v>
      </c>
      <c r="E4" s="3611" t="s">
        <v>1266</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1267</v>
      </c>
      <c r="B5" s="3605">
        <v>25</v>
      </c>
      <c r="C5" s="3608"/>
      <c r="D5" s="3596"/>
      <c r="E5" s="131" t="s">
        <v>1268</v>
      </c>
      <c r="F5" s="1757"/>
      <c r="G5" s="1757"/>
      <c r="H5" s="1757"/>
      <c r="I5" s="1373"/>
    </row>
    <row r="6" spans="1:12" ht="12.75">
      <c r="A6" s="3550"/>
      <c r="B6" s="3605"/>
      <c r="C6" s="3610"/>
      <c r="D6" s="3596"/>
      <c r="E6" s="131" t="s">
        <v>1269</v>
      </c>
      <c r="F6" s="1757"/>
      <c r="G6" s="1757"/>
      <c r="H6" s="1757"/>
      <c r="I6" s="1373"/>
    </row>
    <row r="7" spans="1:12" ht="12.75">
      <c r="A7" s="3550"/>
      <c r="B7" s="3605"/>
      <c r="C7" s="3609"/>
      <c r="D7" s="3596"/>
      <c r="E7" s="131" t="s">
        <v>1270</v>
      </c>
      <c r="F7" s="1757"/>
      <c r="G7" s="1757"/>
      <c r="H7" s="1757"/>
      <c r="I7" s="1373"/>
    </row>
    <row r="8" spans="1:12" ht="12.75">
      <c r="A8" s="3550" t="s">
        <v>1271</v>
      </c>
      <c r="B8" s="3605">
        <v>15</v>
      </c>
      <c r="C8" s="3608"/>
      <c r="D8" s="3596"/>
      <c r="E8" s="131" t="s">
        <v>1272</v>
      </c>
      <c r="F8" s="1757"/>
      <c r="G8" s="1757"/>
      <c r="H8" s="1757"/>
      <c r="I8" s="1373"/>
    </row>
    <row r="9" spans="1:12" ht="12.75">
      <c r="A9" s="3550"/>
      <c r="B9" s="3605"/>
      <c r="C9" s="3609"/>
      <c r="D9" s="3596"/>
      <c r="E9" s="131" t="s">
        <v>1273</v>
      </c>
      <c r="F9" s="1757"/>
      <c r="G9" s="1757"/>
      <c r="H9" s="1757"/>
      <c r="I9" s="1373"/>
    </row>
    <row r="10" spans="1:12" ht="12.75">
      <c r="A10" s="3550" t="s">
        <v>1274</v>
      </c>
      <c r="B10" s="3605">
        <v>15</v>
      </c>
      <c r="C10" s="3608"/>
      <c r="D10" s="3596"/>
      <c r="E10" s="131" t="s">
        <v>1275</v>
      </c>
      <c r="F10" s="1757"/>
      <c r="G10" s="1757"/>
      <c r="H10" s="1757"/>
      <c r="I10" s="1373"/>
    </row>
    <row r="11" spans="1:12" ht="12.75">
      <c r="A11" s="3550"/>
      <c r="B11" s="3605"/>
      <c r="C11" s="3609"/>
      <c r="D11" s="3596"/>
      <c r="E11" s="131" t="s">
        <v>1276</v>
      </c>
      <c r="F11" s="1757"/>
      <c r="G11" s="1757"/>
      <c r="H11" s="1757"/>
      <c r="I11" s="1373"/>
    </row>
    <row r="12" spans="1:12" ht="12.75">
      <c r="A12" s="3550" t="s">
        <v>1277</v>
      </c>
      <c r="B12" s="3605">
        <v>15</v>
      </c>
      <c r="C12" s="3608"/>
      <c r="D12" s="3596"/>
      <c r="E12" s="131" t="s">
        <v>1278</v>
      </c>
      <c r="F12" s="1757"/>
      <c r="G12" s="1757"/>
      <c r="H12" s="1757"/>
      <c r="I12" s="1373"/>
    </row>
    <row r="13" spans="1:12" ht="12.75">
      <c r="A13" s="3550"/>
      <c r="B13" s="3605"/>
      <c r="C13" s="3609"/>
      <c r="D13" s="3596"/>
      <c r="E13" s="131" t="s">
        <v>1279</v>
      </c>
      <c r="F13" s="1757"/>
      <c r="G13" s="1757"/>
      <c r="H13" s="1757"/>
      <c r="I13" s="1373"/>
    </row>
    <row r="14" spans="1:12" ht="12.75">
      <c r="A14" s="3550" t="s">
        <v>1280</v>
      </c>
      <c r="B14" s="3605">
        <v>30</v>
      </c>
      <c r="C14" s="3608">
        <v>5</v>
      </c>
      <c r="D14" s="3596">
        <f>10-C14</f>
        <v>5</v>
      </c>
      <c r="E14" s="131" t="s">
        <v>1281</v>
      </c>
      <c r="F14" s="1757"/>
      <c r="G14" s="1757"/>
      <c r="H14" s="1757"/>
      <c r="I14" s="1373"/>
    </row>
    <row r="15" spans="1:12" ht="12.75">
      <c r="A15" s="3550"/>
      <c r="B15" s="3605"/>
      <c r="C15" s="3610"/>
      <c r="D15" s="3596"/>
      <c r="E15" s="131" t="s">
        <v>1282</v>
      </c>
      <c r="F15" s="1757"/>
      <c r="G15" s="1757"/>
      <c r="H15" s="1757"/>
      <c r="I15" s="1373"/>
    </row>
    <row r="16" spans="1:12" ht="12.75">
      <c r="A16" s="3550"/>
      <c r="B16" s="3605"/>
      <c r="C16" s="3609"/>
      <c r="D16" s="3596"/>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27" t="s">
        <v>2130</v>
      </c>
      <c r="F18" s="3628"/>
      <c r="G18" s="3628"/>
      <c r="H18" s="3628"/>
      <c r="I18" s="3628"/>
      <c r="K18" s="302" t="s">
        <v>1288</v>
      </c>
      <c r="L18" s="302">
        <f>IF(C1="",'数据-汇总表'!E3,SUMIF(项目类型,C1,'数据-汇总表'!E17:E26)+SUMIF(项目类型,C1,'数据-汇总表'!I17:I26))</f>
        <v>21318.1</v>
      </c>
      <c r="M18" s="302">
        <f>IF(C1="",'数据-汇总表'!E3,SUMIF(项目类型,C1,'数据-汇总表'!E17:E26))</f>
        <v>21318.1</v>
      </c>
    </row>
    <row r="19" spans="1:36" ht="15">
      <c r="A19" s="1761" t="s">
        <v>1289</v>
      </c>
      <c r="B19" s="1762" t="s">
        <v>1290</v>
      </c>
      <c r="C19" s="134">
        <f ca="1">SUMIF(INDIRECT("'"&amp;C4&amp;"'"&amp;"!A:A"),结果表!B19,INDIRECT("'"&amp;C4&amp;"'"&amp;"!B:B"))</f>
        <v>36193</v>
      </c>
      <c r="D19" s="135">
        <f ca="1">SUMIF(INDIRECT("'"&amp;D4&amp;"'"&amp;"!A:A"),结果表!B19,INDIRECT("'"&amp;D4&amp;"'"&amp;"!B:B"))</f>
        <v>28535</v>
      </c>
      <c r="E19" s="1761" t="s">
        <v>1291</v>
      </c>
      <c r="F19" s="1762" t="s">
        <v>1290</v>
      </c>
      <c r="G19" s="136">
        <f ca="1">ROUND(C19*$C$18+D19*$D$18,0)</f>
        <v>32364</v>
      </c>
      <c r="H19" s="1763" t="s">
        <v>1292</v>
      </c>
      <c r="I19" s="129"/>
      <c r="K19" s="302" t="s">
        <v>1293</v>
      </c>
      <c r="L19" s="302">
        <f>IF(C1="",'数据-汇总表'!D3,SUMIF(项目类型,C1,'数据-汇总表'!D17:D26)+SUMIF(项目类型,C1,'数据-汇总表'!H17:H27))</f>
        <v>2347.3000000000002</v>
      </c>
      <c r="M19" s="302">
        <f>IF(C1="",'数据-汇总表'!D3,SUMIF(项目类型,C1,'数据-汇总表'!D17:D26))</f>
        <v>2347.3000000000002</v>
      </c>
    </row>
    <row r="20" spans="1:36" ht="15">
      <c r="A20" s="1764"/>
      <c r="B20" s="1026" t="s">
        <v>1294</v>
      </c>
      <c r="C20" s="137">
        <f ca="1">SUMIF(INDIRECT("'"&amp;C4&amp;"'"&amp;"!A:A"),结果表!B20,INDIRECT("'"&amp;C4&amp;"'"&amp;"!B:B"))</f>
        <v>16978</v>
      </c>
      <c r="D20" s="138">
        <f ca="1">SUMIF(INDIRECT("'"&amp;D4&amp;"'"&amp;"!A:A"),结果表!B20,INDIRECT("'"&amp;D4&amp;"'"&amp;"!B:B"))</f>
        <v>13385</v>
      </c>
      <c r="E20" s="1764"/>
      <c r="F20" s="1026" t="s">
        <v>1294</v>
      </c>
      <c r="G20" s="139">
        <f ca="1">ROUND(C20*$C$18+D20*$D$18,0)</f>
        <v>15182</v>
      </c>
      <c r="H20" s="808" t="s">
        <v>1295</v>
      </c>
      <c r="I20" s="129"/>
    </row>
    <row r="21" spans="1:36" ht="15" customHeight="1" thickBot="1">
      <c r="A21" s="828"/>
      <c r="B21" s="1765" t="s">
        <v>1296</v>
      </c>
      <c r="C21" s="719">
        <f ca="1">ROUND(C19*10000/L19,0)</f>
        <v>154190</v>
      </c>
      <c r="D21" s="720">
        <f ca="1">ROUND(D19*10000/L19,0)</f>
        <v>121565</v>
      </c>
      <c r="E21" s="828"/>
      <c r="F21" s="1765" t="s">
        <v>1296</v>
      </c>
      <c r="G21" s="140">
        <f ca="1">ROUND(G19*10000/L19,0)</f>
        <v>137878</v>
      </c>
      <c r="H21" s="1766" t="s">
        <v>1295</v>
      </c>
      <c r="I21" s="129"/>
    </row>
    <row r="22" spans="1:36" ht="15" thickBot="1">
      <c r="A22" s="1688" t="s">
        <v>1297</v>
      </c>
      <c r="B22" s="1767"/>
      <c r="C22" s="1768"/>
      <c r="D22" s="721">
        <f ca="1">IF(C19&lt;D19,D19/C19-1,C19/D19-1)</f>
        <v>0.26837217452251627</v>
      </c>
      <c r="E22" s="129"/>
      <c r="F22" s="129"/>
      <c r="G22" s="129"/>
      <c r="H22" s="129"/>
      <c r="I22" s="129"/>
    </row>
    <row r="23" spans="1:36" ht="13.5" thickBot="1">
      <c r="A23" s="1747"/>
      <c r="B23" s="1747"/>
      <c r="C23" s="1747"/>
      <c r="D23" s="1747"/>
      <c r="E23" s="129"/>
      <c r="F23" s="129"/>
      <c r="G23" s="129"/>
      <c r="H23" s="129"/>
      <c r="I23" s="129"/>
    </row>
    <row r="24" spans="1:36" ht="14.25">
      <c r="A24" s="3620" t="s">
        <v>1298</v>
      </c>
      <c r="B24" s="1762" t="s">
        <v>1290</v>
      </c>
      <c r="C24" s="136">
        <f>IF(B30=0,0,D30)</f>
        <v>0</v>
      </c>
      <c r="D24" s="1769"/>
      <c r="E24" s="129"/>
      <c r="F24" s="129"/>
      <c r="G24" s="129"/>
      <c r="H24" s="129"/>
      <c r="I24" s="129"/>
    </row>
    <row r="25" spans="1:36" ht="14.25">
      <c r="A25" s="362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32364</v>
      </c>
      <c r="D32" s="1775" t="s">
        <v>3631</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97" t="s">
        <v>1311</v>
      </c>
      <c r="B36" s="1787" t="s">
        <v>1312</v>
      </c>
      <c r="C36" s="145"/>
      <c r="D36" s="1788"/>
      <c r="E36" s="1789"/>
      <c r="F36" s="1790"/>
      <c r="G36" s="129"/>
      <c r="H36" s="129"/>
      <c r="I36" s="129"/>
    </row>
    <row r="37" spans="1:15" ht="15.75" thickBot="1">
      <c r="A37" s="3598"/>
      <c r="B37" s="1674" t="s">
        <v>1313</v>
      </c>
      <c r="C37" s="147"/>
      <c r="D37" s="1139"/>
      <c r="E37" s="1139"/>
      <c r="F37" s="1790"/>
      <c r="G37" s="129"/>
      <c r="H37" s="129"/>
      <c r="I37" s="129"/>
    </row>
    <row r="38" spans="1:15" ht="15.75" thickBot="1">
      <c r="A38" s="359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17" t="s">
        <v>1325</v>
      </c>
      <c r="B45" s="3618"/>
      <c r="C45" s="3619"/>
      <c r="D45" s="155">
        <f ca="1">ROUND(H101*F45,0)</f>
        <v>32364</v>
      </c>
      <c r="E45" s="156" t="s">
        <v>1326</v>
      </c>
      <c r="F45" s="157">
        <v>1</v>
      </c>
      <c r="G45" s="158" t="s">
        <v>1327</v>
      </c>
      <c r="H45" s="129"/>
      <c r="I45" s="129"/>
      <c r="J45" s="3537" t="s">
        <v>1328</v>
      </c>
      <c r="K45" s="3537"/>
      <c r="L45" s="3537"/>
      <c r="M45" s="3537"/>
      <c r="N45" s="3537"/>
      <c r="O45" s="3537"/>
    </row>
    <row r="46" spans="1:15" ht="14.25" customHeight="1">
      <c r="A46" s="3614" t="s">
        <v>1329</v>
      </c>
      <c r="B46" s="3615"/>
      <c r="C46" s="3615"/>
      <c r="D46" s="3615"/>
      <c r="E46" s="3615"/>
      <c r="F46" s="3615"/>
      <c r="G46" s="3616"/>
      <c r="H46" s="1806"/>
      <c r="I46" s="159"/>
      <c r="J46" s="2520">
        <v>1</v>
      </c>
      <c r="K46" s="3538" t="s">
        <v>1330</v>
      </c>
      <c r="L46" s="3538"/>
      <c r="M46" s="3539"/>
      <c r="N46" s="3539"/>
      <c r="O46" s="3539"/>
    </row>
    <row r="47" spans="1:15" ht="12" customHeight="1">
      <c r="A47" s="160" t="s">
        <v>1331</v>
      </c>
      <c r="B47" s="161"/>
      <c r="C47" s="162"/>
      <c r="D47" s="1087" t="s">
        <v>1332</v>
      </c>
      <c r="E47" s="302" t="s">
        <v>1333</v>
      </c>
      <c r="F47" s="163" t="s">
        <v>1334</v>
      </c>
      <c r="G47" s="2543" t="s">
        <v>1335</v>
      </c>
      <c r="H47" s="2544"/>
      <c r="I47" s="159"/>
      <c r="J47" s="2520">
        <v>2</v>
      </c>
      <c r="K47" s="3538" t="s">
        <v>1336</v>
      </c>
      <c r="L47" s="3538"/>
      <c r="M47" s="3540">
        <f>'数据-取费表'!B2</f>
        <v>45410</v>
      </c>
      <c r="N47" s="3540"/>
      <c r="O47" s="3540"/>
    </row>
    <row r="48" spans="1:15" ht="25.5">
      <c r="A48" s="3600" t="s">
        <v>1337</v>
      </c>
      <c r="B48" s="3601"/>
      <c r="C48" s="3601"/>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1338</v>
      </c>
      <c r="H48" s="2547"/>
      <c r="I48" s="1806"/>
      <c r="J48" s="2520">
        <v>3</v>
      </c>
      <c r="K48" s="3538" t="s">
        <v>1339</v>
      </c>
      <c r="L48" s="3538"/>
      <c r="M48" s="3541">
        <f ca="1">H101</f>
        <v>32364</v>
      </c>
      <c r="N48" s="3541"/>
      <c r="O48" s="3541"/>
    </row>
    <row r="49" spans="1:35" ht="25.5" customHeight="1">
      <c r="A49" s="2333" t="s">
        <v>1340</v>
      </c>
      <c r="B49" s="3586" t="s">
        <v>1341</v>
      </c>
      <c r="C49" s="3586"/>
      <c r="D49" s="1590">
        <v>0</v>
      </c>
      <c r="E49" s="324" t="s">
        <v>1342</v>
      </c>
      <c r="F49" s="2423" t="s">
        <v>28</v>
      </c>
      <c r="G49" s="3569"/>
      <c r="H49" s="2310" t="s">
        <v>2133</v>
      </c>
      <c r="I49" s="2311"/>
      <c r="J49" s="2520">
        <v>4</v>
      </c>
      <c r="K49" s="3538" t="str">
        <f>IF(项目基本情况!E8="房地产抵押价值","房地产抵押价值","抵押担保权已注销时的房地产抵押价值")</f>
        <v>房地产抵押价值</v>
      </c>
      <c r="L49" s="3538"/>
      <c r="M49" s="3541">
        <f ca="1">IF(项目基本情况!E8="房地产抵押价值",H107,H109)</f>
        <v>32364</v>
      </c>
      <c r="N49" s="3541"/>
      <c r="O49" s="3541"/>
    </row>
    <row r="50" spans="1:35" ht="25.5" customHeight="1">
      <c r="A50" s="2548"/>
      <c r="B50" s="3586" t="s">
        <v>1343</v>
      </c>
      <c r="C50" s="3586"/>
      <c r="D50" s="2549"/>
      <c r="E50" s="332"/>
      <c r="F50" s="2423"/>
      <c r="G50" s="3570"/>
      <c r="H50" s="2312" t="s">
        <v>2134</v>
      </c>
      <c r="I50" s="2311"/>
      <c r="J50" s="3537" t="s">
        <v>1344</v>
      </c>
      <c r="K50" s="3537"/>
      <c r="L50" s="3537"/>
      <c r="M50" s="3537"/>
      <c r="N50" s="3537"/>
      <c r="O50" s="3537"/>
    </row>
    <row r="51" spans="1:35" ht="20.45" customHeight="1">
      <c r="A51" s="2550"/>
      <c r="B51" s="3586" t="s">
        <v>1345</v>
      </c>
      <c r="C51" s="3586"/>
      <c r="D51" s="1087"/>
      <c r="E51" s="327"/>
      <c r="F51" s="2423"/>
      <c r="G51" s="3571"/>
      <c r="H51" s="2312" t="s">
        <v>2135</v>
      </c>
      <c r="I51" s="2311"/>
      <c r="J51" s="2521" t="s">
        <v>1346</v>
      </c>
      <c r="K51" s="3538" t="s">
        <v>1347</v>
      </c>
      <c r="L51" s="3538"/>
      <c r="M51" s="2521" t="s">
        <v>1348</v>
      </c>
      <c r="N51" s="2521" t="s">
        <v>1349</v>
      </c>
      <c r="O51" s="2521" t="s">
        <v>1350</v>
      </c>
    </row>
    <row r="52" spans="1:35" ht="24" customHeight="1">
      <c r="A52" s="2335" t="s">
        <v>1351</v>
      </c>
      <c r="B52" s="3586" t="s">
        <v>1352</v>
      </c>
      <c r="C52" s="3586"/>
      <c r="D52" s="1087">
        <f ca="1">ROUND(D45*'数据-取费表'!B41/(1+'数据-取费表'!C42),0)</f>
        <v>1726</v>
      </c>
      <c r="E52" s="2334" t="s">
        <v>1353</v>
      </c>
      <c r="F52" s="2551">
        <f>'数据-取费表'!B41</f>
        <v>5.6000000000000001E-2</v>
      </c>
      <c r="G52" s="2552"/>
      <c r="H52" s="2541"/>
      <c r="I52" s="1807"/>
      <c r="J52" s="2520">
        <v>1</v>
      </c>
      <c r="K52" s="3563" t="s">
        <v>1354</v>
      </c>
      <c r="L52" s="3563"/>
      <c r="M52" s="2522" t="b">
        <f>D48</f>
        <v>0</v>
      </c>
      <c r="N52" s="2520" t="str">
        <f>E48</f>
        <v>销售额×税（费）率</v>
      </c>
      <c r="O52" s="2523">
        <f>F48</f>
        <v>5.6000000000000001E-2</v>
      </c>
    </row>
    <row r="53" spans="1:35" ht="12" customHeight="1">
      <c r="A53" s="2335" t="s">
        <v>1355</v>
      </c>
      <c r="B53" s="3587" t="s">
        <v>2285</v>
      </c>
      <c r="C53" s="3588"/>
      <c r="D53" s="1087">
        <f ca="1">ROUND(D45*'数据-取费表'!B41/(1+'数据-取费表'!C42),0)</f>
        <v>1726</v>
      </c>
      <c r="E53" s="2334" t="s">
        <v>1353</v>
      </c>
      <c r="F53" s="2551">
        <f>'数据-取费表'!B41</f>
        <v>5.6000000000000001E-2</v>
      </c>
      <c r="G53" s="2552"/>
      <c r="H53" s="2541"/>
      <c r="I53" s="1807"/>
      <c r="J53" s="2520">
        <v>2</v>
      </c>
      <c r="K53" s="3563" t="s">
        <v>1356</v>
      </c>
      <c r="L53" s="3563"/>
      <c r="M53" s="2522">
        <f t="shared" ref="M53:O54" ca="1" si="0">D55</f>
        <v>16</v>
      </c>
      <c r="N53" s="2520" t="str">
        <f t="shared" si="0"/>
        <v>销售额×税（费）率</v>
      </c>
      <c r="O53" s="2523" t="str">
        <f t="shared" si="0"/>
        <v>免征</v>
      </c>
    </row>
    <row r="54" spans="1:35" ht="12" customHeight="1">
      <c r="A54" s="2335" t="s">
        <v>1357</v>
      </c>
      <c r="B54" s="3587" t="s">
        <v>2286</v>
      </c>
      <c r="C54" s="3588"/>
      <c r="D54" s="1087">
        <f ca="1">C68</f>
        <v>1726</v>
      </c>
      <c r="E54" s="327" t="s">
        <v>1358</v>
      </c>
      <c r="F54" s="2551">
        <f>'数据-取费表'!B41</f>
        <v>5.6000000000000001E-2</v>
      </c>
      <c r="G54" s="2552"/>
      <c r="H54" s="2553"/>
      <c r="I54" s="1807"/>
      <c r="J54" s="2520">
        <v>3</v>
      </c>
      <c r="K54" s="3563" t="s">
        <v>1359</v>
      </c>
      <c r="L54" s="3563"/>
      <c r="M54" s="2522">
        <f t="shared" ca="1" si="0"/>
        <v>18318</v>
      </c>
      <c r="N54" s="2520" t="str">
        <f t="shared" si="0"/>
        <v>增值额×税（费）率</v>
      </c>
      <c r="O54" s="2524" t="str">
        <f t="shared" si="0"/>
        <v>免征</v>
      </c>
    </row>
    <row r="55" spans="1:35" ht="24" customHeight="1">
      <c r="A55" s="3623" t="s">
        <v>1360</v>
      </c>
      <c r="B55" s="3601"/>
      <c r="C55" s="3601"/>
      <c r="D55" s="2324">
        <f ca="1">IF(H55="个人住宅",0,ROUND(D45*I55,0))</f>
        <v>16</v>
      </c>
      <c r="E55" s="2334" t="s">
        <v>1361</v>
      </c>
      <c r="F55" s="2551" t="str">
        <f>IF(H55="正常",I55,"免征")</f>
        <v>免征</v>
      </c>
      <c r="G55" s="2552"/>
      <c r="H55" s="2547"/>
      <c r="I55" s="165">
        <f>'数据-取费表'!B49</f>
        <v>5.0000000000000001E-4</v>
      </c>
      <c r="J55" s="2520">
        <f>IF(H59="非个人房产","",4)</f>
        <v>4</v>
      </c>
      <c r="K55" s="3563" t="str">
        <f>IF(H59="非个人房产","——","个人所得税")</f>
        <v>个人所得税</v>
      </c>
      <c r="L55" s="3563"/>
      <c r="M55" s="2525">
        <f ca="1">D59</f>
        <v>308</v>
      </c>
      <c r="N55" s="2040" t="str">
        <f>E59</f>
        <v>差额计税</v>
      </c>
      <c r="O55" s="2526">
        <f>F59</f>
        <v>0.01</v>
      </c>
    </row>
    <row r="56" spans="1:35" ht="24.75">
      <c r="A56" s="3623" t="s">
        <v>1362</v>
      </c>
      <c r="B56" s="3601"/>
      <c r="C56" s="3601"/>
      <c r="D56" s="2324">
        <f ca="1">IF(H56="个人住宅",D57,D58)</f>
        <v>18318</v>
      </c>
      <c r="E56" s="2334" t="s">
        <v>1363</v>
      </c>
      <c r="F56" s="2551" t="str">
        <f>IF(H56="正常",F58,"免征")</f>
        <v>免征</v>
      </c>
      <c r="G56" s="2554" t="s">
        <v>1364</v>
      </c>
      <c r="H56" s="2555"/>
      <c r="I56" s="1808"/>
      <c r="J56" s="2520" t="str">
        <f>IF(项目基本情况!K6="上海银行",IF(J55="",4,J55+1),"")</f>
        <v/>
      </c>
      <c r="K56" s="3544" t="str">
        <f>IF(项目基本情况!K6="上海银行","其他处置费用","")</f>
        <v/>
      </c>
      <c r="L56" s="3545"/>
      <c r="M56" s="2522" t="str">
        <f>IF(项目基本情况!K6="上海银行",M69,"")</f>
        <v/>
      </c>
      <c r="N56" s="3544" t="str">
        <f>IF(项目基本情况!K6="上海银行","包含处置中涉及的律师、诉讼、拍卖、评估等费用","")</f>
        <v/>
      </c>
      <c r="O56" s="3547"/>
    </row>
    <row r="57" spans="1:35" ht="12.75">
      <c r="A57" s="2335" t="s">
        <v>1340</v>
      </c>
      <c r="B57" s="3587" t="s">
        <v>1365</v>
      </c>
      <c r="C57" s="3588"/>
      <c r="D57" s="1590">
        <v>0</v>
      </c>
      <c r="E57" s="324" t="s">
        <v>1342</v>
      </c>
      <c r="F57" s="302"/>
      <c r="G57" s="2552"/>
      <c r="H57" s="2556"/>
      <c r="I57" s="1808"/>
      <c r="J57" s="3563">
        <f>IF(AND(J55="",J56=""),4,IF(项目基本情况!K6="上海银行",结果表!J56+1,结果表!J55+1))</f>
        <v>5</v>
      </c>
      <c r="K57" s="3563" t="s">
        <v>1366</v>
      </c>
      <c r="L57" s="2527" t="s">
        <v>1367</v>
      </c>
      <c r="M57" s="2528"/>
      <c r="N57" s="2529">
        <f ca="1">SUMIF(M52:M56,"&lt;9e307")</f>
        <v>18642</v>
      </c>
      <c r="O57" s="2530"/>
      <c r="P57" s="2687">
        <f ca="1">N57/M49</f>
        <v>0.57601038190582132</v>
      </c>
    </row>
    <row r="58" spans="1:35" ht="24.75">
      <c r="A58" s="2335" t="s">
        <v>1351</v>
      </c>
      <c r="B58" s="3587" t="s">
        <v>1368</v>
      </c>
      <c r="C58" s="3586"/>
      <c r="D58" s="2324">
        <f ca="1">IF(H58="转让取得",C81,C97)</f>
        <v>18318</v>
      </c>
      <c r="E58" s="2334" t="s">
        <v>1363</v>
      </c>
      <c r="F58" s="302" t="s">
        <v>28</v>
      </c>
      <c r="G58" s="2552"/>
      <c r="H58" s="2555"/>
      <c r="I58" s="1808"/>
      <c r="J58" s="3563"/>
      <c r="K58" s="3563"/>
      <c r="L58" s="2527" t="s">
        <v>1369</v>
      </c>
      <c r="M58" s="2531"/>
      <c r="N58" s="2532" t="str">
        <f ca="1">NUMBERSTRING(INT(N57*10000),2)&amp;"元整"</f>
        <v>壹亿捌仟陆佰肆拾贰万元整</v>
      </c>
      <c r="O58" s="2533"/>
    </row>
    <row r="59" spans="1:35" ht="24.75" thickBot="1">
      <c r="A59" s="3567" t="s">
        <v>1370</v>
      </c>
      <c r="B59" s="3568"/>
      <c r="C59" s="3568"/>
      <c r="D59" s="2557">
        <f ca="1">IF(H59="非个人房产","——",IF(H59="个人住宅（满五唯一有凭证）",0,IF(H59="个人其他（无凭证）",ROUND(D45*F59,0),ROUND(C67*F59,0))))</f>
        <v>308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4"/>
      <c r="I59" s="2313" t="s">
        <v>2136</v>
      </c>
      <c r="J59" s="3565">
        <f>J57+1</f>
        <v>6</v>
      </c>
      <c r="K59" s="3563" t="s">
        <v>1371</v>
      </c>
      <c r="L59" s="2520" t="s">
        <v>1367</v>
      </c>
      <c r="M59" s="2534"/>
      <c r="N59" s="2535">
        <f ca="1">M49-N57</f>
        <v>13722</v>
      </c>
      <c r="O59" s="2536"/>
    </row>
    <row r="60" spans="1:35" ht="12" customHeight="1">
      <c r="A60" s="1809"/>
      <c r="B60" s="1747"/>
      <c r="C60" s="1747"/>
      <c r="D60" s="1747"/>
      <c r="E60" s="1578"/>
      <c r="F60" s="1808"/>
      <c r="G60" s="1808"/>
      <c r="H60" s="1810"/>
      <c r="I60" s="129"/>
      <c r="J60" s="3566"/>
      <c r="K60" s="3563"/>
      <c r="L60" s="2527" t="s">
        <v>1369</v>
      </c>
      <c r="M60" s="2531"/>
      <c r="N60" s="2532" t="str">
        <f ca="1">NUMBERSTRING(INT(N59*10000),2)&amp;"元整"</f>
        <v>壹亿叁仟柒佰贰拾贰万元整</v>
      </c>
      <c r="O60" s="2533"/>
    </row>
    <row r="61" spans="1:35" ht="13.5" thickBot="1">
      <c r="A61" s="3622" t="s">
        <v>1372</v>
      </c>
      <c r="B61" s="3622"/>
      <c r="C61" s="3622"/>
      <c r="D61" s="3622"/>
      <c r="E61" s="3622"/>
      <c r="F61" s="1808"/>
      <c r="G61" s="1808"/>
      <c r="H61" s="1810"/>
      <c r="I61" s="129"/>
      <c r="J61" s="2520">
        <f>J59+1</f>
        <v>7</v>
      </c>
      <c r="K61" s="3563" t="s">
        <v>1373</v>
      </c>
      <c r="L61" s="3563"/>
      <c r="M61" s="2537"/>
      <c r="N61" s="2538">
        <f ca="1">ROUND(N59*10000/'数据-汇总表'!E3,0)</f>
        <v>6437</v>
      </c>
      <c r="O61" s="2539"/>
    </row>
    <row r="62" spans="1:35" ht="12.75">
      <c r="A62" s="3582" t="s">
        <v>1374</v>
      </c>
      <c r="B62" s="3583"/>
      <c r="C62" s="2021"/>
      <c r="D62" s="2021" t="s">
        <v>1375</v>
      </c>
      <c r="E62" s="166" t="s">
        <v>1376</v>
      </c>
      <c r="F62" s="1808"/>
      <c r="G62" s="1808"/>
      <c r="H62" s="1810"/>
      <c r="I62" s="129"/>
    </row>
    <row r="63" spans="1:35" ht="12.75">
      <c r="A63" s="173" t="s">
        <v>330</v>
      </c>
      <c r="B63" s="167" t="s">
        <v>1377</v>
      </c>
      <c r="C63" s="2561">
        <f ca="1">ROUND((C64+C65)/(1+'数据-取费表'!C42),0)</f>
        <v>30823</v>
      </c>
      <c r="D63" s="167"/>
      <c r="E63" s="168"/>
      <c r="F63" s="1808"/>
      <c r="G63" s="1808"/>
      <c r="H63" s="1810"/>
      <c r="I63" s="129"/>
      <c r="J63" s="3546" t="s">
        <v>1378</v>
      </c>
      <c r="K63" s="1332" t="s">
        <v>1379</v>
      </c>
      <c r="L63" s="1332">
        <f ca="1">IF(M49&gt;10000,M49*0.5%,IF(AND(M49&gt;1000,M49&lt;=10000),M49*1%,IF(AND(M49&gt;100,M49&lt;=1000),M49*3%,IF(AND(M49&gt;10,M49&lt;=100),M49*5%,M49*8%))))</f>
        <v>161.82</v>
      </c>
      <c r="M63" s="302">
        <f ca="1">ROUND(L63,1)</f>
        <v>161.80000000000001</v>
      </c>
      <c r="N63" s="2540"/>
      <c r="Z63" s="1752"/>
      <c r="AI63" s="1753"/>
    </row>
    <row r="64" spans="1:35" ht="14.25" customHeight="1">
      <c r="A64" s="169" t="s">
        <v>325</v>
      </c>
      <c r="B64" s="170" t="s">
        <v>1380</v>
      </c>
      <c r="C64" s="2562">
        <f ca="1">D45</f>
        <v>32364</v>
      </c>
      <c r="D64" s="170" t="s">
        <v>26</v>
      </c>
      <c r="E64" s="172"/>
      <c r="F64" s="1808"/>
      <c r="G64" s="1808"/>
      <c r="H64" s="1810"/>
      <c r="I64" s="129"/>
      <c r="J64" s="3546"/>
      <c r="K64" s="1332" t="s">
        <v>1381</v>
      </c>
      <c r="L64" s="1332">
        <f ca="1">IF(M49&gt;2000,M49*0.5%,IF(AND(M49&gt;1000,M49&lt;=2000),M49*0.6%,IF(AND(M49&gt;500,M49&lt;=1000),M49*0.7%,IF(AND(M49&gt;200,M49&lt;=500),M49*0.8%,IF(AND(M49&gt;100,M49&lt;=200),M49*0.9%,IF(AND(M49&gt;50,M49&lt;=100),M49*1%,IF(AND(M49&gt;20,M49&lt;=50),M49*1.5%,IF(AND(M49&gt;10,M49&lt;=20),M49*2%,IF(AND(M49&gt;1,M49&lt;=10),M49*2.5%)))))))))</f>
        <v>161.82</v>
      </c>
      <c r="M64" s="302">
        <f t="shared" ref="M64:M65" ca="1" si="1">ROUND(L64,1)</f>
        <v>161.80000000000001</v>
      </c>
      <c r="N64" s="2541" t="s">
        <v>1382</v>
      </c>
      <c r="Z64" s="1752"/>
      <c r="AI64" s="1753"/>
    </row>
    <row r="65" spans="1:35" ht="14.25" customHeight="1">
      <c r="A65" s="169" t="s">
        <v>326</v>
      </c>
      <c r="B65" s="170" t="s">
        <v>1383</v>
      </c>
      <c r="C65" s="2563"/>
      <c r="D65" s="170"/>
      <c r="E65" s="172"/>
      <c r="F65" s="1808"/>
      <c r="G65" s="1808"/>
      <c r="H65" s="1810"/>
      <c r="I65" s="129"/>
      <c r="J65" s="3546"/>
      <c r="K65" s="1332" t="s">
        <v>1384</v>
      </c>
      <c r="L65" s="1332">
        <f ca="1">IF(M49&gt;1000,M49*0.1%,IF(AND(M49&gt;500,M49&lt;=1000),M49*0.5%,IF(AND(M49&gt;50,M49&lt;=500),M49*1%,IF(AND(M49&gt;1,M49&lt;=50),M49*1.5%))))</f>
        <v>32.363999999999997</v>
      </c>
      <c r="M65" s="302">
        <f t="shared" ca="1" si="1"/>
        <v>32.4</v>
      </c>
      <c r="N65" s="2541" t="s">
        <v>1382</v>
      </c>
      <c r="Z65" s="1752"/>
      <c r="AI65" s="1753"/>
    </row>
    <row r="66" spans="1:35" ht="14.25" customHeight="1">
      <c r="A66" s="173" t="s">
        <v>327</v>
      </c>
      <c r="B66" s="174" t="s">
        <v>1385</v>
      </c>
      <c r="C66" s="2564"/>
      <c r="D66" s="174" t="s">
        <v>26</v>
      </c>
      <c r="E66" s="1338" t="s">
        <v>671</v>
      </c>
      <c r="F66" s="1808"/>
      <c r="G66" s="1808"/>
      <c r="H66" s="1810"/>
      <c r="I66" s="129"/>
      <c r="J66" s="3546"/>
      <c r="K66" s="1332" t="s">
        <v>1386</v>
      </c>
      <c r="L66" s="1332">
        <f ca="1">M49*0.5%</f>
        <v>161.82</v>
      </c>
      <c r="M66" s="302">
        <f ca="1">IF(L66&gt;0.5,0.5,ROUND(L66,0))</f>
        <v>0.5</v>
      </c>
      <c r="N66" s="2541" t="s">
        <v>1387</v>
      </c>
      <c r="Z66" s="1752"/>
      <c r="AI66" s="1753"/>
    </row>
    <row r="67" spans="1:35" ht="14.25" customHeight="1">
      <c r="A67" s="173" t="s">
        <v>328</v>
      </c>
      <c r="B67" s="174" t="s">
        <v>1388</v>
      </c>
      <c r="C67" s="2565">
        <f ca="1">C63-C66</f>
        <v>30823</v>
      </c>
      <c r="D67" s="170" t="s">
        <v>26</v>
      </c>
      <c r="E67" s="172"/>
      <c r="F67" s="1808"/>
      <c r="G67" s="1808"/>
      <c r="H67" s="1810"/>
      <c r="I67" s="129"/>
      <c r="J67" s="3546"/>
      <c r="K67" s="1332" t="s">
        <v>1389</v>
      </c>
      <c r="L67" s="1332">
        <f ca="1">IF(M49&gt;=10000,(8.25+(M49-10000)*0.01%),IF(AND(M49&gt;=8000,M49&lt;10000),(7.85+(M49-8000)*0.02%),IF(AND(M49&gt;=5000,M49&lt;8000),(6.65+(M49-5000)*0.04%),IF(AND(M49&gt;=2000,M49&lt;5000),(4.25+(PM49-2000)*0.08%),IF(AND(M49&gt;=1000,M49&lt;2000),(2.75+(M49-1000)*0.15%),IF(AND(M49&gt;=100,M49&lt;1000),(0.5+(M49-100)*0.25%),IF(AND(M49&gt;0,M49&lt;100),M49*0.5%)))))))</f>
        <v>10.4864</v>
      </c>
      <c r="M67" s="302">
        <f ca="1">ROUND(L67*0.9,1)</f>
        <v>9.4</v>
      </c>
      <c r="N67" s="2540"/>
      <c r="Z67" s="1752"/>
      <c r="AI67" s="1753"/>
    </row>
    <row r="68" spans="1:35" ht="14.25" customHeight="1" thickBot="1">
      <c r="A68" s="176" t="s">
        <v>329</v>
      </c>
      <c r="B68" s="177" t="s">
        <v>1390</v>
      </c>
      <c r="C68" s="2566">
        <f ca="1">IF(C67&lt;=0,0,ROUND(C67*D68,0))</f>
        <v>1726</v>
      </c>
      <c r="D68" s="2567">
        <f>'数据-取费表'!B41</f>
        <v>5.6000000000000001E-2</v>
      </c>
      <c r="E68" s="178"/>
      <c r="F68" s="1808"/>
      <c r="G68" s="1808"/>
      <c r="H68" s="1810"/>
      <c r="I68" s="129"/>
      <c r="J68" s="3546"/>
      <c r="K68" s="1332" t="s">
        <v>1391</v>
      </c>
      <c r="L68" s="1332">
        <f ca="1">IF(M49&gt;10000,M49*0.5%,IF(AND(M49&gt;5000,M49&lt;=10000),M49*1%,IF(AND(M49&gt;1000,M49&lt;=5000),M49*2%,IF(AND(M49&gt;200,M49&lt;=1000),M49*3%,M49*5%))))</f>
        <v>161.82</v>
      </c>
      <c r="M68" s="302">
        <f ca="1">ROUND(L68,1)</f>
        <v>161.80000000000001</v>
      </c>
      <c r="N68" s="2540"/>
      <c r="Z68" s="1752"/>
      <c r="AI68" s="1753"/>
    </row>
    <row r="69" spans="1:35" s="1772" customFormat="1" ht="16.5" customHeight="1">
      <c r="A69" s="1811"/>
      <c r="B69" s="1812"/>
      <c r="C69" s="1813"/>
      <c r="D69" s="1814"/>
      <c r="E69" s="1815"/>
      <c r="F69" s="1578"/>
      <c r="G69" s="1578"/>
      <c r="H69" s="1577"/>
      <c r="I69" s="1747"/>
      <c r="J69" s="3546"/>
      <c r="K69" s="1332" t="s">
        <v>1392</v>
      </c>
      <c r="L69" s="1332"/>
      <c r="M69" s="302">
        <f ca="1">ROUND(SUM(M63:M68),0)</f>
        <v>528</v>
      </c>
      <c r="N69" s="2542">
        <f ca="1">M69/M49</f>
        <v>1.6314423433444566E-2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1393</v>
      </c>
      <c r="B70" s="3591"/>
      <c r="C70" s="3591"/>
      <c r="D70" s="3591"/>
      <c r="E70" s="3591"/>
      <c r="F70" s="3591"/>
      <c r="G70" s="3591"/>
      <c r="H70" s="359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1374</v>
      </c>
      <c r="B71" s="3583"/>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5">
        <f ca="1">ROUND(D45/(1+'数据-取费表'!C42),0)</f>
        <v>30823</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5">
        <f ca="1">C74+C78</f>
        <v>185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8"/>
      <c r="D75" s="170" t="s">
        <v>26</v>
      </c>
      <c r="E75" s="184" t="s">
        <v>1398</v>
      </c>
      <c r="F75" s="2569"/>
      <c r="G75" s="184" t="s">
        <v>1399</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1">
        <v>0.05</v>
      </c>
      <c r="E76" s="3587" t="s">
        <v>1401</v>
      </c>
      <c r="F76" s="3586"/>
      <c r="G76" s="3586"/>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2">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3">
        <f ca="1">ROUND(D45*D78/(1+'数据-取费表'!C42),0)</f>
        <v>185</v>
      </c>
      <c r="D78" s="2574">
        <f>'数据-取费表'!B43</f>
        <v>6.000000000000001E-3</v>
      </c>
      <c r="E78" s="3579" t="s">
        <v>1405</v>
      </c>
      <c r="F78" s="3580"/>
      <c r="G78" s="3580"/>
      <c r="H78" s="358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5">
        <f ca="1">C72-C73</f>
        <v>30638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5">
        <f ca="1">IF(C79&lt;=0,0,C79/C73)</f>
        <v>165.61081081081082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6">
        <f ca="1">ROUND(IF(C79&lt;=0,0,IF(C80&gt;=200%,C79*60%-C73*35%,IF(C80&gt;=100%,C79*50%-C73*15%,IF(C80&gt;=50%,C79*40%-C73*5%,IF(C80&lt;50%,C79*30%,0))))),0)</f>
        <v>18318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1409</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1374</v>
      </c>
      <c r="B84" s="358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5">
        <f ca="1">ROUND(D45/(1+'数据-取费表'!C42),0)</f>
        <v>30823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5">
        <f ca="1">IF(H88="仅含出让金",C87+C90+C91+C92+C93+C94,C87+C91+C92+C93+C94)</f>
        <v>185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9"/>
      <c r="D88" s="2574"/>
      <c r="E88" s="193" t="s">
        <v>1412</v>
      </c>
      <c r="F88" s="2327"/>
      <c r="G88" s="194" t="s">
        <v>1413</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3">
        <f>ROUND(C88*D89,0)</f>
        <v>0</v>
      </c>
      <c r="D89" s="2574">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9"/>
      <c r="D90" s="2574"/>
      <c r="E90" s="193" t="str">
        <f>IF(H88="-","土地取得成本中已包含该笔费用"," ")</f>
        <v xml:space="preserve"> </v>
      </c>
      <c r="F90" s="2327"/>
      <c r="G90" s="3548" t="s">
        <v>2128</v>
      </c>
      <c r="H90" s="3549"/>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3">
        <f>IF(H91="——",成本法!C33,I91)</f>
        <v>0</v>
      </c>
      <c r="D91" s="2574"/>
      <c r="E91" s="3579" t="s">
        <v>1418</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3">
        <f>ROUND((C87+C90+C91)*D92,0)</f>
        <v>0</v>
      </c>
      <c r="D92" s="2580"/>
      <c r="E92" s="3579" t="s">
        <v>1421</v>
      </c>
      <c r="F92" s="3580"/>
      <c r="G92" s="3580"/>
      <c r="H92" s="3581"/>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3">
        <f ca="1">ROUND(D45*D93/(1+'数据-取费表'!C42),0)</f>
        <v>185</v>
      </c>
      <c r="D93" s="2574">
        <f>'数据-取费表'!B43</f>
        <v>6.000000000000001E-3</v>
      </c>
      <c r="E93" s="3579" t="s">
        <v>1405</v>
      </c>
      <c r="F93" s="3580"/>
      <c r="G93" s="3580"/>
      <c r="H93" s="358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9">
        <f>ROUND((C87+C90+C91)*D94,0)</f>
        <v>0</v>
      </c>
      <c r="D94" s="2574">
        <v>0.2</v>
      </c>
      <c r="E94" s="3624" t="s">
        <v>1425</v>
      </c>
      <c r="F94" s="3625"/>
      <c r="G94" s="3625"/>
      <c r="H94" s="362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5">
        <f ca="1">ROUND(C85-C86,0)</f>
        <v>30638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5">
        <f ca="1">IF(C95&lt;=0,0,C95/C86)</f>
        <v>165.61081081081082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6">
        <f ca="1">ROUND(IF(C95&lt;=0,0,IF(C96&gt;=200%,C95*60%-C86*35%,IF(C96&gt;=100%,C95*50%-C86*15%,IF(C96&gt;=50%,C95*40%-C86*5%,IF(C96&lt;50%,C95*30%,0))))),0)</f>
        <v>18318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29" t="s">
        <v>1427</v>
      </c>
      <c r="B100" s="3530"/>
      <c r="C100" s="3530"/>
      <c r="D100" s="3564"/>
      <c r="E100" s="3530" t="s">
        <v>1428</v>
      </c>
      <c r="F100" s="3530"/>
      <c r="G100" s="3530"/>
      <c r="H100" s="3564"/>
      <c r="I100" s="129"/>
    </row>
    <row r="101" spans="1:35" ht="18.75" customHeight="1">
      <c r="A101" s="3572" t="s">
        <v>1429</v>
      </c>
      <c r="B101" s="3573"/>
      <c r="C101" s="2582" t="str">
        <f>C4</f>
        <v>成本法</v>
      </c>
      <c r="D101" s="2583" t="str">
        <f>D4</f>
        <v>收益法</v>
      </c>
      <c r="E101" s="3542" t="s">
        <v>1430</v>
      </c>
      <c r="F101" s="3543"/>
      <c r="G101" s="1827" t="s">
        <v>1431</v>
      </c>
      <c r="H101" s="2592">
        <f ca="1">H118</f>
        <v>32364</v>
      </c>
      <c r="I101" s="129"/>
    </row>
    <row r="102" spans="1:35" ht="18.75" customHeight="1">
      <c r="A102" s="3574" t="s">
        <v>1432</v>
      </c>
      <c r="B102" s="2581" t="s">
        <v>1431</v>
      </c>
      <c r="C102" s="2582">
        <f ca="1">IF(D32="楼面单价",ROUND(C19,0),C19)</f>
        <v>36193</v>
      </c>
      <c r="D102" s="2583">
        <f ca="1">IF(D32="楼面单价",ROUND(D19,0),D19)</f>
        <v>28535</v>
      </c>
      <c r="E102" s="3542"/>
      <c r="F102" s="3543"/>
      <c r="G102" s="1827" t="s">
        <v>1433</v>
      </c>
      <c r="H102" s="2552">
        <f ca="1">I118</f>
        <v>15181</v>
      </c>
      <c r="I102" s="129"/>
    </row>
    <row r="103" spans="1:35" ht="42.75" customHeight="1">
      <c r="A103" s="3574"/>
      <c r="B103" s="2581" t="s">
        <v>1433</v>
      </c>
      <c r="C103" s="2584">
        <f ca="1">C20</f>
        <v>16978</v>
      </c>
      <c r="D103" s="2585">
        <f ca="1">D20</f>
        <v>13385</v>
      </c>
      <c r="E103" s="3535" t="s">
        <v>1434</v>
      </c>
      <c r="F103" s="3536"/>
      <c r="G103" s="1828" t="s">
        <v>1435</v>
      </c>
      <c r="H103" s="2592">
        <f>IF(D36="正常操作",H104+H105+H106,H105+H106)</f>
        <v>0</v>
      </c>
      <c r="I103" s="129"/>
    </row>
    <row r="104" spans="1:35" ht="18.75" customHeight="1">
      <c r="A104" s="3574" t="s">
        <v>1436</v>
      </c>
      <c r="B104" s="2586" t="s">
        <v>1431</v>
      </c>
      <c r="C104" s="2587">
        <f ca="1">H118</f>
        <v>32364</v>
      </c>
      <c r="D104" s="2588"/>
      <c r="E104" s="1674" t="s">
        <v>1437</v>
      </c>
      <c r="F104" s="1666"/>
      <c r="G104" s="1828" t="s">
        <v>1435</v>
      </c>
      <c r="H104" s="2593">
        <f>IF(D36="同一抵押权人同一抵押物续贷",C36&amp;"（续贷，未扣减，详见特别提示）",C36)</f>
        <v>0</v>
      </c>
      <c r="I104" s="129"/>
    </row>
    <row r="105" spans="1:35" ht="18.75" customHeight="1" thickBot="1">
      <c r="A105" s="3584"/>
      <c r="B105" s="2589" t="s">
        <v>1433</v>
      </c>
      <c r="C105" s="2590">
        <f ca="1">I118</f>
        <v>15181</v>
      </c>
      <c r="D105" s="2591"/>
      <c r="E105" s="1674" t="s">
        <v>1438</v>
      </c>
      <c r="F105" s="1666"/>
      <c r="G105" s="1828" t="s">
        <v>1435</v>
      </c>
      <c r="H105" s="2594">
        <f>C37</f>
        <v>0</v>
      </c>
      <c r="I105" s="129"/>
    </row>
    <row r="106" spans="1:35" ht="18.75" customHeight="1">
      <c r="A106" s="1747" t="s">
        <v>1439</v>
      </c>
      <c r="B106" s="1747"/>
      <c r="C106" s="1747"/>
      <c r="D106" s="1747"/>
      <c r="E106" s="1829" t="s">
        <v>1440</v>
      </c>
      <c r="F106" s="1666"/>
      <c r="G106" s="1828" t="s">
        <v>1435</v>
      </c>
      <c r="H106" s="2594">
        <f>C38</f>
        <v>0</v>
      </c>
      <c r="I106" s="129"/>
    </row>
    <row r="107" spans="1:35" ht="18.75" customHeight="1">
      <c r="A107" s="129"/>
      <c r="B107" s="129"/>
      <c r="C107" s="129"/>
      <c r="D107" s="129"/>
      <c r="E107" s="3575" t="str">
        <f>IF(项目基本情况!E8="已注销","——","3.房地产抵押价值")</f>
        <v>3.房地产抵押价值</v>
      </c>
      <c r="F107" s="3543"/>
      <c r="G107" s="1827" t="s">
        <v>1431</v>
      </c>
      <c r="H107" s="2592">
        <f ca="1">IF(E107="——","——",H101-H103)</f>
        <v>32364</v>
      </c>
      <c r="I107" s="129"/>
    </row>
    <row r="108" spans="1:35" ht="18.75" customHeight="1">
      <c r="A108" s="129"/>
      <c r="B108" s="129"/>
      <c r="C108" s="129"/>
      <c r="D108" s="129"/>
      <c r="E108" s="3575"/>
      <c r="F108" s="3543"/>
      <c r="G108" s="1827" t="s">
        <v>1433</v>
      </c>
      <c r="H108" s="2552">
        <f ca="1">IF(H107=H101,H102,ROUND(H107*10000/'数据-汇总表'!E3,0))</f>
        <v>15181</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7" t="s">
        <v>1431</v>
      </c>
      <c r="H109" s="2595" t="str">
        <f>IF(E109="——","——",H101-H105-H106)</f>
        <v>——</v>
      </c>
      <c r="I109" s="129"/>
    </row>
    <row r="110" spans="1:35" ht="18.75" customHeight="1">
      <c r="A110" s="129"/>
      <c r="B110" s="129"/>
      <c r="C110" s="129"/>
      <c r="D110" s="129"/>
      <c r="E110" s="3575"/>
      <c r="F110" s="3543"/>
      <c r="G110" s="1827" t="s">
        <v>1433</v>
      </c>
      <c r="H110" s="2552"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7" t="s">
        <v>1431</v>
      </c>
      <c r="H111" s="2592" t="str">
        <f>IF(E111="——","——",N59)</f>
        <v>——</v>
      </c>
      <c r="I111" s="129"/>
    </row>
    <row r="112" spans="1:35" ht="18.75" customHeight="1" thickBot="1">
      <c r="A112" s="129"/>
      <c r="B112" s="129"/>
      <c r="C112" s="129"/>
      <c r="D112" s="129"/>
      <c r="E112" s="3577"/>
      <c r="F112" s="3578"/>
      <c r="G112" s="1830" t="s">
        <v>1433</v>
      </c>
      <c r="H112" s="2596" t="str">
        <f>IF(E111="——","——",N61)</f>
        <v>——</v>
      </c>
      <c r="I112" s="129"/>
    </row>
    <row r="113" spans="1:27" ht="18.75" customHeight="1">
      <c r="A113" s="129"/>
      <c r="B113" s="129"/>
      <c r="C113" s="129"/>
      <c r="D113" s="129"/>
      <c r="E113" s="3585" t="s">
        <v>1439</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3" t="s">
        <v>1441</v>
      </c>
      <c r="B115" s="3594"/>
      <c r="C115" s="3594"/>
      <c r="D115" s="3594"/>
      <c r="E115" s="3594"/>
      <c r="F115" s="3594"/>
      <c r="G115" s="3594"/>
      <c r="H115" s="3594"/>
      <c r="I115" s="3595"/>
    </row>
    <row r="116" spans="1:27" ht="27" customHeight="1">
      <c r="A116" s="3550" t="s">
        <v>1442</v>
      </c>
      <c r="B116" s="3554" t="s">
        <v>1443</v>
      </c>
      <c r="C116" s="3554" t="s">
        <v>1444</v>
      </c>
      <c r="D116" s="3560" t="s">
        <v>1445</v>
      </c>
      <c r="E116" s="3561"/>
      <c r="F116" s="3592" t="s">
        <v>1446</v>
      </c>
      <c r="G116" s="3592"/>
      <c r="H116" s="3550" t="s">
        <v>1447</v>
      </c>
      <c r="I116" s="3550"/>
    </row>
    <row r="117" spans="1:27" ht="18.75" customHeight="1">
      <c r="A117" s="3550"/>
      <c r="B117" s="3555"/>
      <c r="C117" s="3555"/>
      <c r="D117" s="2329" t="s">
        <v>1448</v>
      </c>
      <c r="E117" s="2329" t="s">
        <v>1449</v>
      </c>
      <c r="F117" s="2329" t="s">
        <v>1448</v>
      </c>
      <c r="G117" s="2329" t="s">
        <v>1450</v>
      </c>
      <c r="H117" s="2329" t="s">
        <v>1448</v>
      </c>
      <c r="I117" s="2329" t="s">
        <v>1450</v>
      </c>
    </row>
    <row r="118" spans="1:27" ht="24.75" customHeight="1">
      <c r="A118" s="2597" t="str">
        <f>项目基本情况!S2</f>
        <v>北京市海淀区八里庄路62号院1号楼1层101等房地产</v>
      </c>
      <c r="B118" s="2329">
        <f>M18</f>
        <v>21318.1</v>
      </c>
      <c r="C118" s="2329">
        <f>M19</f>
        <v>2347.3000000000002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32364</v>
      </c>
      <c r="I118" s="2329">
        <f ca="1">ROUND(IF(D32="楼面单价",C32,H118*10000/B118),0)</f>
        <v>15181</v>
      </c>
    </row>
    <row r="119" spans="1:27" ht="18.75" customHeight="1">
      <c r="A119" s="3550" t="s">
        <v>1451</v>
      </c>
      <c r="B119" s="3550"/>
      <c r="C119" s="3550"/>
      <c r="D119" s="3556" t="e">
        <f ca="1">NUMBERSTRING(INT(D118*10000),2)&amp;"元整"</f>
        <v>#REF!</v>
      </c>
      <c r="E119" s="3557"/>
      <c r="F119" s="3556" t="e">
        <f ca="1">NUMBERSTRING(INT(F118*10000),2)&amp;"元整"</f>
        <v>#REF!</v>
      </c>
      <c r="G119" s="3557"/>
      <c r="H119" s="3556" t="str">
        <f ca="1">NUMBERSTRING(INT(H118*10000),2)&amp;"元整"</f>
        <v>叁亿贰仟叁佰陆拾肆万元整</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6" t="s">
        <v>1451</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房地产抵押价值</v>
      </c>
      <c r="B122" s="3562"/>
      <c r="C122" s="3562"/>
      <c r="D122" s="3551">
        <f ca="1">H107</f>
        <v>32364</v>
      </c>
      <c r="E122" s="3552"/>
      <c r="F122" s="3552"/>
      <c r="G122" s="3552"/>
      <c r="H122" s="3552"/>
      <c r="I122" s="3553"/>
      <c r="AA122" s="725"/>
    </row>
    <row r="123" spans="1:27" ht="18.75" customHeight="1">
      <c r="A123" s="3550" t="s">
        <v>1451</v>
      </c>
      <c r="B123" s="3550"/>
      <c r="C123" s="3550"/>
      <c r="D123" s="3556" t="str">
        <f ca="1">NUMBERSTRING(INT(D122*10000),2)&amp;"元整"</f>
        <v>叁亿贰仟叁佰陆拾肆万元整</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1451</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t="str">
        <f>H111</f>
        <v>——</v>
      </c>
      <c r="E126" s="3552"/>
      <c r="F126" s="3552"/>
      <c r="G126" s="3552"/>
      <c r="H126" s="3552"/>
      <c r="I126" s="3553"/>
      <c r="AA126" s="725"/>
    </row>
    <row r="127" spans="1:27" ht="18.75" customHeight="1">
      <c r="A127" s="3550" t="s">
        <v>1451</v>
      </c>
      <c r="B127" s="3550"/>
      <c r="C127" s="3550"/>
      <c r="D127" s="3556" t="e">
        <f>NUMBERSTRING(INT(D126*10000),2)&amp;"元整"</f>
        <v>#VALUE!</v>
      </c>
      <c r="E127" s="3558"/>
      <c r="F127" s="3558"/>
      <c r="G127" s="3558"/>
      <c r="H127" s="3558"/>
      <c r="I127" s="3557"/>
      <c r="AA127" s="725"/>
    </row>
    <row r="128" spans="1:27" ht="21.75" customHeight="1">
      <c r="A128" s="3559" t="s">
        <v>1452</v>
      </c>
      <c r="B128" s="3559"/>
      <c r="C128" s="3559"/>
      <c r="D128" s="3559"/>
      <c r="E128" s="3559"/>
      <c r="F128" s="3559"/>
      <c r="G128" s="3559"/>
      <c r="H128" s="3559"/>
      <c r="I128" s="355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1" sqref="J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36193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16978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16147</v>
      </c>
      <c r="D5" s="211" t="s">
        <v>1468</v>
      </c>
      <c r="E5" s="212" t="s">
        <v>1469</v>
      </c>
      <c r="F5" s="212" t="s">
        <v>1470</v>
      </c>
      <c r="G5" s="213"/>
    </row>
    <row r="6" spans="1:9" s="214" customFormat="1" ht="13.5" customHeight="1">
      <c r="A6" s="778" t="s">
        <v>1471</v>
      </c>
      <c r="B6" s="215" t="s">
        <v>1472</v>
      </c>
      <c r="C6" s="216">
        <f>基准地价修正!B2</f>
        <v>15256</v>
      </c>
      <c r="D6" s="217"/>
      <c r="E6" s="218"/>
      <c r="F6" s="218"/>
      <c r="G6" s="219"/>
    </row>
    <row r="7" spans="1:9" s="214" customFormat="1" ht="13.5" customHeight="1">
      <c r="A7" s="778" t="s">
        <v>1473</v>
      </c>
      <c r="B7" s="215" t="s">
        <v>1474</v>
      </c>
      <c r="C7" s="220">
        <f>ROUND(C6*F7,0)</f>
        <v>465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426</v>
      </c>
      <c r="D8" s="222"/>
      <c r="E8" s="220"/>
      <c r="F8" s="221"/>
      <c r="G8" s="1856" t="s">
        <v>3412</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426</v>
      </c>
      <c r="D10" s="845">
        <f ca="1">IF(B1="",'数据-汇总表'!E6,IF(INDIRECT("'数据-取费表'!c"&amp;$G$1)="住宅",INDIRECT("'数据-取费表'!s"&amp;$G$1),INDIRECT("'数据-取费表'!k"&amp;$G$1)+INDIRECT("'数据-取费表'!s"&amp;$G$1)))</f>
        <v>21318.1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21318.1</v>
      </c>
      <c r="E19" s="211">
        <f>'数据-取费表'!B31</f>
        <v>200</v>
      </c>
      <c r="F19" s="231"/>
      <c r="G19" s="1856" t="s">
        <v>3413</v>
      </c>
    </row>
    <row r="20" spans="1:7" s="214" customFormat="1" ht="13.5" customHeight="1">
      <c r="A20" s="255" t="s">
        <v>1492</v>
      </c>
      <c r="B20" s="210" t="s">
        <v>1493</v>
      </c>
      <c r="C20" s="232">
        <f ca="1">ROUND((C5+C19)*F20,0)</f>
        <v>484</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1150</v>
      </c>
      <c r="D22" s="235">
        <f ca="1">C26</f>
        <v>1E-3</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1133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17</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3326</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3326</v>
      </c>
      <c r="D28" s="235"/>
      <c r="E28" s="236"/>
      <c r="F28" s="246"/>
      <c r="G28" s="247"/>
    </row>
    <row r="29" spans="1:7" s="214" customFormat="1" ht="13.5" customHeight="1">
      <c r="A29" s="780" t="s">
        <v>347</v>
      </c>
      <c r="B29" s="248" t="s">
        <v>1516</v>
      </c>
      <c r="C29" s="238">
        <f ca="1">ROUND(C21*F27*'数据-取费表'!B21/'数据-取费表'!B20,4)</f>
        <v>6.0000000000000001E-3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23202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11618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10659</v>
      </c>
      <c r="D34" s="217"/>
      <c r="E34" s="220"/>
      <c r="F34" s="257">
        <f ca="1">IF('数据-取费表'!B24=0,1,IF(B1="",'数据-取费表'!N16,INDIRECT("'数据-取费表'!n"&amp;$G$1)))</f>
        <v>1</v>
      </c>
      <c r="G34" s="219" t="s">
        <v>1525</v>
      </c>
    </row>
    <row r="35" spans="1:7" ht="13.5" customHeight="1">
      <c r="A35" s="780" t="s">
        <v>351</v>
      </c>
      <c r="B35" s="215" t="s">
        <v>1526</v>
      </c>
      <c r="C35" s="220">
        <f ca="1">ROUND(C34*F35,0)</f>
        <v>320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426</v>
      </c>
      <c r="D37" s="217">
        <f ca="1">D19</f>
        <v>21318.1</v>
      </c>
      <c r="E37" s="249">
        <f>'数据-取费表'!B35</f>
        <v>200</v>
      </c>
      <c r="F37" s="259"/>
      <c r="G37" s="261" t="s">
        <v>1531</v>
      </c>
    </row>
    <row r="38" spans="1:7" ht="13.5" customHeight="1">
      <c r="A38" s="780" t="s">
        <v>354</v>
      </c>
      <c r="B38" s="215" t="s">
        <v>1532</v>
      </c>
      <c r="C38" s="220">
        <f ca="1">ROUND(C34*F38,0)</f>
        <v>213</v>
      </c>
      <c r="D38" s="220"/>
      <c r="E38" s="220"/>
      <c r="F38" s="259">
        <f>'数据-取费表'!B36</f>
        <v>0.02</v>
      </c>
      <c r="G38" s="219" t="s">
        <v>1527</v>
      </c>
    </row>
    <row r="39" spans="1:7" s="214" customFormat="1" ht="13.5" customHeight="1">
      <c r="A39" s="255" t="s">
        <v>1533</v>
      </c>
      <c r="B39" s="210" t="s">
        <v>1534</v>
      </c>
      <c r="C39" s="232">
        <f ca="1">ROUND(C33*F20,0)</f>
        <v>349</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413</v>
      </c>
      <c r="D41" s="235">
        <f ca="1">C44</f>
        <v>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401</v>
      </c>
      <c r="D42" s="238"/>
      <c r="E42" s="238"/>
      <c r="F42" s="239"/>
      <c r="G42" s="3629" t="s">
        <v>1543</v>
      </c>
    </row>
    <row r="43" spans="1:7" ht="13.5" customHeight="1">
      <c r="A43" s="780" t="s">
        <v>347</v>
      </c>
      <c r="B43" s="215" t="s">
        <v>1544</v>
      </c>
      <c r="C43" s="238">
        <f ca="1">ROUND(IF('数据-取费表'!B22&lt;=1,C39*F22*'数据-取费表'!B21/2,C39*(POWER((1+F22),'数据-取费表'!B21/2)-1)),0)</f>
        <v>12</v>
      </c>
      <c r="D43" s="238"/>
      <c r="E43" s="238"/>
      <c r="F43" s="239"/>
      <c r="G43" s="3630"/>
    </row>
    <row r="44" spans="1:7" ht="13.5" customHeight="1">
      <c r="A44" s="780" t="s">
        <v>348</v>
      </c>
      <c r="B44" s="215" t="s">
        <v>1545</v>
      </c>
      <c r="C44" s="238">
        <f ca="1">ROUND(IF('数据-取费表'!B22&lt;=1,C40*F22*'数据-取费表'!B21/2,C40*(POWER((1+F22),'数据-取费表'!B21/2)-1)),4)</f>
        <v>1E-3</v>
      </c>
      <c r="D44" s="238"/>
      <c r="E44" s="238"/>
      <c r="F44" s="239"/>
      <c r="G44" s="3631"/>
    </row>
    <row r="45" spans="1:7" s="214" customFormat="1" ht="13.5" customHeight="1">
      <c r="A45" s="255" t="s">
        <v>1546</v>
      </c>
      <c r="B45" s="244" t="s">
        <v>1512</v>
      </c>
      <c r="C45" s="245">
        <f ca="1">C46</f>
        <v>2393</v>
      </c>
      <c r="D45" s="235">
        <f ca="1">C47</f>
        <v>6.0000000000000001E-3</v>
      </c>
      <c r="E45" s="236" t="s">
        <v>1538</v>
      </c>
      <c r="F45" s="246">
        <f ca="1">F27</f>
        <v>0.2</v>
      </c>
      <c r="G45" s="247" t="s">
        <v>1547</v>
      </c>
    </row>
    <row r="46" spans="1:7" s="214" customFormat="1" ht="13.5" customHeight="1">
      <c r="A46" s="780" t="s">
        <v>346</v>
      </c>
      <c r="B46" s="248" t="s">
        <v>1548</v>
      </c>
      <c r="C46" s="249">
        <f ca="1">ROUND((C33+C39)*F27,0)</f>
        <v>2393</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16239</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12991</v>
      </c>
      <c r="D51" s="232"/>
      <c r="E51" s="232"/>
      <c r="F51" s="264"/>
      <c r="G51" s="234" t="s">
        <v>1559</v>
      </c>
    </row>
    <row r="52" spans="1:7" s="208" customFormat="1" ht="16.5" thickBot="1">
      <c r="A52" s="265" t="s">
        <v>1560</v>
      </c>
      <c r="B52" s="266"/>
      <c r="C52" s="267">
        <f ca="1">C31+C51</f>
        <v>36193</v>
      </c>
      <c r="D52" s="266"/>
      <c r="E52" s="266"/>
      <c r="F52" s="266"/>
      <c r="G52" s="268"/>
    </row>
    <row r="55" spans="1:7" ht="15">
      <c r="B55" s="270" t="s">
        <v>1561</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6" t="str">
        <f>项目基本情况!B1</f>
        <v>北京市海淀区八里庄路62号院1号楼1层101等房地产抵押价值预评估</v>
      </c>
      <c r="C37" s="3446"/>
      <c r="D37" s="3446"/>
      <c r="E37" s="3446"/>
      <c r="F37" s="3446"/>
      <c r="G37" s="3446"/>
      <c r="H37" s="3446"/>
      <c r="I37" s="344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14217.0255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6669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4263620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4263620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4263620</v>
      </c>
      <c r="D10" s="845">
        <f ca="1">IF(B1="",'数据-汇总表'!E6,IF(INDIRECT("'数据-取费表'!c"&amp;$G$1)="住宅",INDIRECT("'数据-取费表'!s"&amp;$G$1),INDIRECT("'数据-取费表'!k"&amp;$G$1)+INDIRECT("'数据-取费表'!s"&amp;$G$1)))</f>
        <v>21318.1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4263620</v>
      </c>
      <c r="D19" s="849">
        <f ca="1">D9+D10</f>
        <v>21318.1</v>
      </c>
      <c r="E19" s="211">
        <f>'数据-取费表'!B31</f>
        <v>200</v>
      </c>
      <c r="F19" s="231"/>
      <c r="G19" s="1856"/>
    </row>
    <row r="20" spans="1:7" s="214" customFormat="1" ht="13.5" customHeight="1">
      <c r="A20" s="255" t="s">
        <v>1573</v>
      </c>
      <c r="B20" s="210" t="s">
        <v>1574</v>
      </c>
      <c r="C20" s="232">
        <f ca="1">ROUND((C5+C19)*F20,0)</f>
        <v>255817</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607356</v>
      </c>
      <c r="D22" s="235">
        <f ca="1">C26</f>
        <v>1E-3</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299265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299265</v>
      </c>
      <c r="D24" s="238"/>
      <c r="E24" s="238"/>
      <c r="F24" s="239"/>
      <c r="G24" s="240" t="s">
        <v>1585</v>
      </c>
    </row>
    <row r="25" spans="1:7" s="214" customFormat="1" ht="24">
      <c r="A25" s="780" t="s">
        <v>1475</v>
      </c>
      <c r="B25" s="215" t="s">
        <v>1586</v>
      </c>
      <c r="C25" s="1128">
        <f ca="1">ROUND(IF('数据-取费表'!B22&lt;=1,C20*F22*'数据-取费表'!B22/2,C20*(POWER((1+F22),'数据-取费表'!B22/2)-1)),0)</f>
        <v>8826</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1756611</v>
      </c>
      <c r="D27" s="235">
        <f ca="1">C29</f>
        <v>6.0000000000000001E-3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1756611</v>
      </c>
      <c r="D28" s="235"/>
      <c r="E28" s="236"/>
      <c r="F28" s="246"/>
      <c r="G28" s="247"/>
    </row>
    <row r="29" spans="1:7" s="214" customFormat="1" ht="13.5" customHeight="1">
      <c r="A29" s="780" t="s">
        <v>347</v>
      </c>
      <c r="B29" s="248" t="s">
        <v>1516</v>
      </c>
      <c r="C29" s="238">
        <f ca="1">ROUND(C21*F27,4)</f>
        <v>6.0000000000000001E-3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12253517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116183645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106590500</v>
      </c>
      <c r="D34" s="217"/>
      <c r="E34" s="220"/>
      <c r="F34" s="257"/>
      <c r="G34" s="219"/>
    </row>
    <row r="35" spans="1:7" ht="13.5" customHeight="1">
      <c r="A35" s="780" t="s">
        <v>351</v>
      </c>
      <c r="B35" s="215" t="s">
        <v>1526</v>
      </c>
      <c r="C35" s="220">
        <f ca="1">ROUND(C34*F35,0)</f>
        <v>3197715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4263620</v>
      </c>
      <c r="D37" s="217">
        <f ca="1">D19</f>
        <v>21318.1</v>
      </c>
      <c r="E37" s="249">
        <f>'数据-取费表'!B35</f>
        <v>200</v>
      </c>
      <c r="F37" s="259"/>
      <c r="G37" s="261"/>
    </row>
    <row r="38" spans="1:7" ht="13.5" customHeight="1">
      <c r="A38" s="780" t="s">
        <v>354</v>
      </c>
      <c r="B38" s="215" t="s">
        <v>1532</v>
      </c>
      <c r="C38" s="220">
        <f ca="1">ROUND(C34*F38,0)</f>
        <v>2131810</v>
      </c>
      <c r="D38" s="220"/>
      <c r="E38" s="220"/>
      <c r="F38" s="259">
        <f>'数据-取费表'!B36</f>
        <v>0.02</v>
      </c>
      <c r="G38" s="219" t="s">
        <v>1527</v>
      </c>
    </row>
    <row r="39" spans="1:7" s="214" customFormat="1" ht="13.5" customHeight="1">
      <c r="A39" s="255" t="s">
        <v>1533</v>
      </c>
      <c r="B39" s="210" t="s">
        <v>1534</v>
      </c>
      <c r="C39" s="232">
        <f ca="1">ROUND(C33*F20,0)</f>
        <v>3485509</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4128586</v>
      </c>
      <c r="D41" s="235">
        <f ca="1">C44</f>
        <v>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4008336</v>
      </c>
      <c r="D42" s="238"/>
      <c r="E42" s="238"/>
      <c r="F42" s="239"/>
      <c r="G42" s="3629" t="s">
        <v>1590</v>
      </c>
    </row>
    <row r="43" spans="1:7" ht="13.5" customHeight="1">
      <c r="A43" s="780" t="s">
        <v>347</v>
      </c>
      <c r="B43" s="215" t="s">
        <v>1544</v>
      </c>
      <c r="C43" s="238">
        <f ca="1">ROUND(IF('数据-取费表'!B22&lt;=1,C39*F22*'数据-取费表'!B20/2,C39*(POWER((1+F22),'数据-取费表'!B20/2)-1)),0)</f>
        <v>120250</v>
      </c>
      <c r="D43" s="238"/>
      <c r="E43" s="238"/>
      <c r="F43" s="239"/>
      <c r="G43" s="3630"/>
    </row>
    <row r="44" spans="1:7" ht="13.5" customHeight="1">
      <c r="A44" s="780" t="s">
        <v>348</v>
      </c>
      <c r="B44" s="215" t="s">
        <v>1545</v>
      </c>
      <c r="C44" s="238">
        <f ca="1">ROUND(IF('数据-取费表'!B22&lt;=1,C40*F22*'数据-取费表'!B20/2,C40*(POWER((1+F22),'数据-取费表'!B20/2)-1)),4)</f>
        <v>1E-3</v>
      </c>
      <c r="D44" s="238"/>
      <c r="E44" s="238"/>
      <c r="F44" s="239"/>
      <c r="G44" s="3631"/>
    </row>
    <row r="45" spans="1:7" s="214" customFormat="1" ht="13.5" customHeight="1">
      <c r="A45" s="255" t="s">
        <v>1546</v>
      </c>
      <c r="B45" s="244" t="s">
        <v>1512</v>
      </c>
      <c r="C45" s="245">
        <f ca="1">C46</f>
        <v>23933831</v>
      </c>
      <c r="D45" s="235">
        <f ca="1">C47</f>
        <v>6.0000000000000001E-3</v>
      </c>
      <c r="E45" s="236" t="s">
        <v>1538</v>
      </c>
      <c r="F45" s="246">
        <f ca="1">F27</f>
        <v>0.2</v>
      </c>
      <c r="G45" s="247" t="s">
        <v>1547</v>
      </c>
    </row>
    <row r="46" spans="1:7" s="214" customFormat="1" ht="13.5" customHeight="1">
      <c r="A46" s="780" t="s">
        <v>346</v>
      </c>
      <c r="B46" s="248" t="s">
        <v>1548</v>
      </c>
      <c r="C46" s="249">
        <f ca="1">ROUND((C33+C39)*F27,0)</f>
        <v>23933831</v>
      </c>
      <c r="D46" s="263"/>
      <c r="E46" s="236"/>
      <c r="F46" s="246"/>
      <c r="G46" s="247"/>
    </row>
    <row r="47" spans="1:7" s="214" customFormat="1" ht="13.5" customHeight="1">
      <c r="A47" s="780" t="s">
        <v>347</v>
      </c>
      <c r="B47" s="248" t="s">
        <v>1549</v>
      </c>
      <c r="C47" s="238">
        <f ca="1">ROUND(C40*F27,4)</f>
        <v>6.0000000000000001E-3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162395923</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129916738</v>
      </c>
      <c r="D51" s="232"/>
      <c r="E51" s="232"/>
      <c r="F51" s="264"/>
      <c r="G51" s="234" t="s">
        <v>1559</v>
      </c>
    </row>
    <row r="52" spans="1:7" s="208" customFormat="1" ht="16.5" thickBot="1">
      <c r="A52" s="265" t="s">
        <v>1560</v>
      </c>
      <c r="B52" s="266"/>
      <c r="C52" s="267">
        <f ca="1">C31+C51</f>
        <v>142170255</v>
      </c>
      <c r="D52" s="266"/>
      <c r="E52" s="266"/>
      <c r="F52" s="266"/>
      <c r="G52" s="268"/>
    </row>
    <row r="55" spans="1:7" ht="15">
      <c r="B55" s="270" t="s">
        <v>1561</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21318.1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21318.1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426</v>
      </c>
      <c r="D20" s="846">
        <f ca="1">IF(C1="",'数据-汇总表'!E6,IF(INDIRECT("'数据-取费表'!c"&amp;$K$1)="住宅",INDIRECT("'数据-取费表'!s"&amp;$K$1),INDIRECT("'数据-取费表'!k"&amp;$K$1)+INDIRECT("'数据-取费表'!s"&amp;$K$1)))</f>
        <v>21318.1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30" sqref="G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21318.1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15256</v>
      </c>
      <c r="C2" s="1999" t="s">
        <v>1934</v>
      </c>
      <c r="D2" s="2000" t="s">
        <v>1935</v>
      </c>
      <c r="E2" s="3419" t="s">
        <v>673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Ⅳ-05</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20770</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7156</v>
      </c>
      <c r="C3" s="1999" t="s">
        <v>1940</v>
      </c>
      <c r="D3" s="2000" t="s">
        <v>1941</v>
      </c>
      <c r="E3" s="3417" t="s">
        <v>2447</v>
      </c>
      <c r="F3" s="2004" t="s">
        <v>3407</v>
      </c>
      <c r="G3" s="752">
        <f>IF(F3="宗地容积率",'数据-汇总表'!I4,IF(F3="估价对象容积率",'数据-汇总表'!I6,'数据-汇总表'!I7))</f>
        <v>1.25</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16371</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41"/>
      <c r="B4" s="3742"/>
      <c r="C4" s="3742"/>
      <c r="D4" s="3743"/>
      <c r="E4" s="3743"/>
      <c r="F4" s="3743"/>
      <c r="G4" s="3743"/>
      <c r="H4" s="3743"/>
      <c r="I4" s="3743"/>
      <c r="J4" s="3744"/>
      <c r="K4" s="1119"/>
      <c r="L4" s="2003" t="s">
        <v>1945</v>
      </c>
      <c r="M4" s="864">
        <f>SUMPRODUCT((区片价!B55:B86=I2)*(区片价!C3:G3=E2)*(区片价!C55:G86))</f>
        <v>21000</v>
      </c>
      <c r="N4" s="866">
        <f>SUMPRODUCT((因素修正幅度!B55:B86=I2)*(因素修正幅度!C3:G3=E2)*(因素修正幅度!C55:G86))</f>
        <v>9.5000000000000001E-2</v>
      </c>
      <c r="O4" s="1119"/>
      <c r="P4" s="1119"/>
      <c r="Q4" s="1119"/>
      <c r="R4" s="1212">
        <v>3</v>
      </c>
      <c r="S4" s="3358">
        <f>ROUND(SUMPRODUCT((B106:B110=R4)*(C105:N105=G2)*(C106:N110)),4)</f>
        <v>1.0004999999999999</v>
      </c>
      <c r="T4" s="3358">
        <f t="shared" si="0"/>
        <v>13836</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20964</v>
      </c>
      <c r="D5" s="1339">
        <f>ROUND(C6*C17+C20,0)</f>
        <v>20964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12203</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21000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11727</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1954</v>
      </c>
      <c r="X7" s="1214" t="str">
        <f>G2</f>
        <v>四级</v>
      </c>
      <c r="Y7" s="1214" t="s">
        <v>1955</v>
      </c>
      <c r="Z7" s="1215">
        <f>G3</f>
        <v>1.25</v>
      </c>
      <c r="AA7" s="1216"/>
      <c r="AB7" s="1216"/>
      <c r="AC7" s="1217"/>
      <c r="AD7" s="1218"/>
      <c r="AE7" s="1218"/>
      <c r="AF7" s="1218"/>
      <c r="AG7" s="1218"/>
      <c r="AH7" s="1218"/>
      <c r="AI7" s="1218"/>
      <c r="AJ7" s="1219"/>
    </row>
    <row r="8" spans="1:36" ht="25.5">
      <c r="A8" s="3296"/>
      <c r="B8" s="170" t="s">
        <v>1956</v>
      </c>
      <c r="C8" s="2026" t="s">
        <v>3408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8" t="s">
        <v>1959</v>
      </c>
      <c r="X8" s="373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40"/>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4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3241</v>
      </c>
      <c r="G14" s="3309" t="s">
        <v>3241</v>
      </c>
      <c r="H14" s="3309" t="s">
        <v>3241</v>
      </c>
      <c r="I14" s="3309" t="s">
        <v>3241</v>
      </c>
      <c r="J14" s="3309" t="s">
        <v>3241</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5" t="s">
        <v>3252</v>
      </c>
      <c r="B20" s="167" t="s">
        <v>1993</v>
      </c>
      <c r="C20" s="3322">
        <f>ROUND(IF(F21="与级别开发程度一致",0,(G21-E21)/C21),0)</f>
        <v>-36</v>
      </c>
      <c r="D20" s="3338" t="s">
        <v>1997</v>
      </c>
      <c r="E20" s="3339"/>
      <c r="F20" s="3751" t="s">
        <v>1994</v>
      </c>
      <c r="G20" s="3752"/>
      <c r="H20" s="3323" t="s">
        <v>3388</v>
      </c>
      <c r="I20" s="3323" t="s">
        <v>3389</v>
      </c>
      <c r="J20" s="3324" t="s">
        <v>3390</v>
      </c>
      <c r="K20" s="2047" t="s">
        <v>3391</v>
      </c>
      <c r="L20" s="2047" t="s">
        <v>3392</v>
      </c>
      <c r="M20" s="2047" t="s">
        <v>3393</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0.8</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2001</v>
      </c>
      <c r="E23" s="761">
        <v>44197</v>
      </c>
      <c r="F23" s="2054" t="s">
        <v>2002</v>
      </c>
      <c r="G23" s="762">
        <f>'数据-取费表'!B2</f>
        <v>45410</v>
      </c>
      <c r="H23" s="3340" t="s">
        <v>3254</v>
      </c>
      <c r="I23" s="3341" t="str">
        <f>IF(H23="季度增幅（自定义）",SUMIF(N25:N28,E2,O25:O28),"")</f>
        <v/>
      </c>
      <c r="J23" s="3443" t="s">
        <v>3253</v>
      </c>
      <c r="K23" s="1125"/>
      <c r="L23" s="2055" t="s">
        <v>2003</v>
      </c>
      <c r="M23" s="1328">
        <f>ROUND(SUMIF(地价!B2:G2,E2,地价!B16:G16),0)</f>
        <v>350</v>
      </c>
      <c r="N23" s="2056" t="s">
        <v>2004</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0.752</v>
      </c>
      <c r="D24" s="2060" t="s">
        <v>2006</v>
      </c>
      <c r="E24" s="1335">
        <f>存贷款利率!E24/100</f>
        <v>4.3499999999999997E-2</v>
      </c>
      <c r="F24" s="2060" t="s">
        <v>1998</v>
      </c>
      <c r="G24" s="768">
        <f>SUMIF(M30:Q30,E2,M33:Q33)</f>
        <v>5.5E-2</v>
      </c>
      <c r="H24" s="2060" t="s">
        <v>2007</v>
      </c>
      <c r="I24" s="769">
        <f>SUMIF('数据-取费表'!C6:C15,E2,'数据-取费表'!F6:F15)/COUNTIF('数据-取费表'!C6:C15,E2)</f>
        <v>20.350000000000001</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3422</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3255</v>
      </c>
      <c r="D26" s="1352">
        <f>IF(E26=G26,F26,IF(G3&lt;10,ROUND(F26+(H26-F26)*(G3-E26)/(G26-E26),4),"——"))</f>
        <v>1.1592</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3342" t="s">
        <v>3256</v>
      </c>
      <c r="J26" s="772" t="str">
        <f>IF(G3&gt;=10,D115,"——")</f>
        <v>——</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1.0470999999999999</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15256</v>
      </c>
      <c r="D30" s="2083"/>
      <c r="E30" s="2046"/>
      <c r="F30" s="2084"/>
      <c r="G30" s="2046"/>
      <c r="H30" s="2046"/>
      <c r="I30" s="2046"/>
      <c r="J30" s="2085"/>
      <c r="K30" s="1119"/>
      <c r="L30" s="3348" t="s">
        <v>1935</v>
      </c>
      <c r="M30" s="3349" t="s">
        <v>1989</v>
      </c>
      <c r="N30" s="3349" t="s">
        <v>1990</v>
      </c>
      <c r="O30" s="3349" t="s">
        <v>1991</v>
      </c>
      <c r="P30" s="3349" t="s">
        <v>1992</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3815</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20770</v>
      </c>
      <c r="D33" s="2098">
        <f>'数据-汇总表'!F31</f>
        <v>2933.24</v>
      </c>
      <c r="E33" s="773">
        <f>ROUND(C33*D33/10000,0)</f>
        <v>6092</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3259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3263</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9"/>
      <c r="B37" s="2113" t="s">
        <v>2035</v>
      </c>
      <c r="C37" s="175">
        <f>ROUND(D5*C22*C23*C24*C28*F37,0)</f>
        <v>8298</v>
      </c>
      <c r="D37" s="2098">
        <f>'数据-汇总表'!G31</f>
        <v>18384.86</v>
      </c>
      <c r="E37" s="171">
        <f>ROUND(C37*D37/10000,0)</f>
        <v>15256</v>
      </c>
      <c r="F37" s="171">
        <f>SUMIF(修正!A57:A68,G2,修正!B57:B68)</f>
        <v>0.6</v>
      </c>
      <c r="G37" s="171">
        <f>ROUND(IF(E2="工业",C37*$M$42,C37*$M$41),0)</f>
        <v>2075</v>
      </c>
      <c r="H37" s="171">
        <f>D37</f>
        <v>18384.86</v>
      </c>
      <c r="I37" s="171">
        <f>ROUND(G37*H37/10000,0)</f>
        <v>3815</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0"/>
      <c r="B38" s="2041" t="s">
        <v>2036</v>
      </c>
      <c r="C38" s="175">
        <f>ROUND(D5*C22*C23*C24*C28*F38,0)</f>
        <v>4149</v>
      </c>
      <c r="D38" s="2098"/>
      <c r="E38" s="171">
        <f t="shared" ref="E38:E42" si="4">ROUND(C38*D38/10000,0)</f>
        <v>0</v>
      </c>
      <c r="F38" s="171">
        <f>SUMIF(修正!A57:A68,G2,修正!C57:C68)</f>
        <v>0.3</v>
      </c>
      <c r="G38" s="171">
        <f>ROUND(IF(E2="工业",C38*$M$42,C38*$M$41),0)</f>
        <v>1037</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0"/>
      <c r="B39" s="2041" t="s">
        <v>3257</v>
      </c>
      <c r="C39" s="175">
        <f>ROUND(D5*C22*C23*C24*C28*F39,0)</f>
        <v>3457</v>
      </c>
      <c r="D39" s="2098"/>
      <c r="E39" s="171">
        <f t="shared" si="4"/>
        <v>0</v>
      </c>
      <c r="F39" s="171">
        <f>SUMIF(修正!A57:A68,G2,修正!D57:D68)</f>
        <v>0.25</v>
      </c>
      <c r="G39" s="171">
        <f>ROUND(IF(E2="工业",C39*$M$42,C39*$M$41),0)</f>
        <v>864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3457</v>
      </c>
      <c r="D40" s="2098"/>
      <c r="E40" s="171">
        <f t="shared" si="4"/>
        <v>0</v>
      </c>
      <c r="F40" s="175">
        <f>SUMIF(修正!A57:A68,G2,修正!E57:E68)</f>
        <v>0.25</v>
      </c>
      <c r="G40" s="171">
        <f>ROUND(IF(E2="工业",C40*$M$42,C40*$M$41),0)</f>
        <v>864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t="s">
        <v>3402</v>
      </c>
      <c r="D50" s="1065">
        <f t="shared" ref="D50:D58" si="7">SUMIF($J$49:$N$49,C50,J50:N50)</f>
        <v>1.4200000000000001E-2</v>
      </c>
      <c r="E50" s="744">
        <f>ROUND(SUM(D50:D58),4)</f>
        <v>4.7100000000000003E-2</v>
      </c>
      <c r="F50" s="1814">
        <f>IF(E2="商业",SUMIF(L1:L12,G2,N1:N12),"——")</f>
        <v>9.5000000000000001E-2</v>
      </c>
      <c r="G50" s="1063">
        <v>1.4200000000000001E-2</v>
      </c>
      <c r="H50" s="1066">
        <f t="shared" ref="H50:H58" si="8">IFERROR(ROUNDDOWN($F$50*I50/2,4),"——")</f>
        <v>1.4200000000000001E-2</v>
      </c>
      <c r="I50" s="3364">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3402</v>
      </c>
      <c r="D51" s="1065">
        <f t="shared" si="7"/>
        <v>1.04E-2</v>
      </c>
      <c r="E51" s="745"/>
      <c r="F51" s="1814"/>
      <c r="G51" s="1063">
        <v>1.04E-2</v>
      </c>
      <c r="H51" s="1066">
        <f t="shared" si="8"/>
        <v>1.04E-2</v>
      </c>
      <c r="I51" s="3364">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3402</v>
      </c>
      <c r="D52" s="1065">
        <f t="shared" si="7"/>
        <v>5.7000000000000002E-3</v>
      </c>
      <c r="E52" s="745"/>
      <c r="F52" s="1814"/>
      <c r="G52" s="1063">
        <v>5.7000000000000002E-3</v>
      </c>
      <c r="H52" s="1066">
        <f t="shared" si="8"/>
        <v>5.7000000000000002E-3</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2053</v>
      </c>
      <c r="B53" s="2135" t="s">
        <v>2054</v>
      </c>
      <c r="C53" s="2044" t="s">
        <v>3402</v>
      </c>
      <c r="D53" s="1065">
        <f t="shared" si="7"/>
        <v>2.3E-3</v>
      </c>
      <c r="E53" s="745"/>
      <c r="F53" s="1814"/>
      <c r="G53" s="1063">
        <v>2.3E-3</v>
      </c>
      <c r="H53" s="1066">
        <f t="shared" si="8"/>
        <v>2.3E-3</v>
      </c>
      <c r="I53" s="3364">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3410</v>
      </c>
      <c r="D54" s="1065">
        <f t="shared" si="7"/>
        <v>0</v>
      </c>
      <c r="E54" s="745"/>
      <c r="F54" s="1814"/>
      <c r="G54" s="1063">
        <v>3.8E-3</v>
      </c>
      <c r="H54" s="1066">
        <f t="shared" si="8"/>
        <v>3.8E-3</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2056</v>
      </c>
      <c r="B55" s="2136" t="s">
        <v>2057</v>
      </c>
      <c r="C55" s="2044" t="s">
        <v>3402</v>
      </c>
      <c r="D55" s="1065">
        <f t="shared" si="7"/>
        <v>2.3E-3</v>
      </c>
      <c r="E55" s="745"/>
      <c r="F55" s="1814"/>
      <c r="G55" s="1063">
        <v>2.3E-3</v>
      </c>
      <c r="H55" s="1066">
        <f t="shared" si="8"/>
        <v>2.3E-3</v>
      </c>
      <c r="I55" s="3364">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3402</v>
      </c>
      <c r="D56" s="1065">
        <f t="shared" si="7"/>
        <v>2.3E-3</v>
      </c>
      <c r="E56" s="745"/>
      <c r="F56" s="1814"/>
      <c r="G56" s="1063">
        <v>2.3E-3</v>
      </c>
      <c r="H56" s="1066">
        <f t="shared" si="8"/>
        <v>2.3E-3</v>
      </c>
      <c r="I56" s="3364">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3411</v>
      </c>
      <c r="D57" s="1065">
        <f t="shared" si="7"/>
        <v>7.6E-3</v>
      </c>
      <c r="E57" s="745"/>
      <c r="F57" s="1814"/>
      <c r="G57" s="1063">
        <v>3.8E-3</v>
      </c>
      <c r="H57" s="1066">
        <f t="shared" si="8"/>
        <v>3.8E-3</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3402</v>
      </c>
      <c r="D58" s="1065">
        <f t="shared" si="7"/>
        <v>2.3E-3</v>
      </c>
      <c r="E58" s="746"/>
      <c r="F58" s="1814"/>
      <c r="G58" s="1063">
        <v>2.3E-3</v>
      </c>
      <c r="H58" s="1066">
        <f t="shared" si="8"/>
        <v>2.3E-3</v>
      </c>
      <c r="I58" s="3365">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3271</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3275</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3276</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3277</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7" t="s">
        <v>3292</v>
      </c>
      <c r="B103" s="3747"/>
      <c r="C103" s="3747"/>
      <c r="D103" s="3747"/>
      <c r="E103" s="3747"/>
      <c r="F103" s="3747"/>
      <c r="G103" s="3747"/>
      <c r="H103" s="3747"/>
      <c r="I103" s="3747"/>
      <c r="J103" s="3747"/>
      <c r="K103" s="3387"/>
      <c r="L103" s="3387"/>
      <c r="M103" s="3387"/>
      <c r="N103" s="3387"/>
    </row>
    <row r="104" spans="1:14">
      <c r="A104" s="3748" t="s">
        <v>3293</v>
      </c>
      <c r="B104" s="3748" t="s">
        <v>3294</v>
      </c>
      <c r="C104" s="3388" t="s">
        <v>3295</v>
      </c>
      <c r="D104" s="3389"/>
      <c r="E104" s="3389"/>
      <c r="F104" s="3389"/>
      <c r="G104" s="3389"/>
      <c r="H104" s="3389"/>
      <c r="I104" s="3389"/>
      <c r="J104" s="3390"/>
      <c r="K104" s="3391"/>
      <c r="L104" s="3391"/>
      <c r="M104" s="3391"/>
      <c r="N104" s="3391"/>
    </row>
    <row r="105" spans="1:14">
      <c r="A105" s="3748"/>
      <c r="B105" s="3748"/>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34"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5"/>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36"/>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37" t="s">
        <v>3309</v>
      </c>
      <c r="B113" s="3737"/>
      <c r="C113" s="3737"/>
      <c r="D113" s="3737"/>
      <c r="E113" s="3737"/>
      <c r="F113" s="3737"/>
      <c r="G113" s="3737"/>
      <c r="H113" s="3737"/>
      <c r="I113" s="3737"/>
      <c r="J113" s="373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1.25</v>
      </c>
      <c r="C116" s="3397" t="s">
        <v>3311</v>
      </c>
      <c r="D116" s="3398">
        <f>SUMPRODUCT((A118:A122=F116)*(B117:M117=H116)*B118:M122)</f>
        <v>0.93149999999999999</v>
      </c>
      <c r="E116" s="2000" t="s">
        <v>3312</v>
      </c>
      <c r="F116" s="3399" t="str">
        <f>E2</f>
        <v>商业</v>
      </c>
      <c r="G116" s="2000" t="s">
        <v>3313</v>
      </c>
      <c r="H116" s="3399" t="str">
        <f>G2</f>
        <v>四级</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0.98309999999999997</v>
      </c>
      <c r="C118" s="3385">
        <f>B118</f>
        <v>0.98309999999999997</v>
      </c>
      <c r="D118" s="3385">
        <f>ROUND(0.949-0.014*B116,4)</f>
        <v>0.93149999999999999</v>
      </c>
      <c r="E118" s="3385">
        <f>D118</f>
        <v>0.93149999999999999</v>
      </c>
      <c r="F118" s="3385">
        <f>E118</f>
        <v>0.93149999999999999</v>
      </c>
      <c r="G118" s="3385">
        <f>F118</f>
        <v>0.93149999999999999</v>
      </c>
      <c r="H118" s="3385">
        <f>G118</f>
        <v>0.93149999999999999</v>
      </c>
      <c r="I118" s="3385">
        <f>ROUND(0.8486-0.018*B116,4)</f>
        <v>0.82609999999999995</v>
      </c>
      <c r="J118" s="3385">
        <f t="shared" ref="J118:M122" si="35">I118</f>
        <v>0.82609999999999995</v>
      </c>
      <c r="K118" s="3385">
        <f t="shared" si="35"/>
        <v>0.82609999999999995</v>
      </c>
      <c r="L118" s="3385">
        <f t="shared" si="35"/>
        <v>0.82609999999999995</v>
      </c>
      <c r="M118" s="3408">
        <f t="shared" si="35"/>
        <v>0.82609999999999995</v>
      </c>
      <c r="N118" s="3395"/>
    </row>
    <row r="119" spans="1:14">
      <c r="A119" s="3407" t="s">
        <v>3327</v>
      </c>
      <c r="B119" s="3385">
        <f>ROUND(0.993-0.0112*B116,4)</f>
        <v>0.97899999999999998</v>
      </c>
      <c r="C119" s="3385">
        <f>B119</f>
        <v>0.97899999999999998</v>
      </c>
      <c r="D119" s="3385">
        <f>ROUND(0.9415-0.0142*B116,4)</f>
        <v>0.92379999999999995</v>
      </c>
      <c r="E119" s="3385">
        <f t="shared" ref="E119:H120" si="36">D119</f>
        <v>0.92379999999999995</v>
      </c>
      <c r="F119" s="3385">
        <f t="shared" si="36"/>
        <v>0.92379999999999995</v>
      </c>
      <c r="G119" s="3385">
        <f t="shared" si="36"/>
        <v>0.92379999999999995</v>
      </c>
      <c r="H119" s="3385">
        <f t="shared" si="36"/>
        <v>0.92379999999999995</v>
      </c>
      <c r="I119" s="3385">
        <f>ROUND(0.838-0.0182*B116,4)</f>
        <v>0.81530000000000002</v>
      </c>
      <c r="J119" s="3385">
        <f t="shared" si="35"/>
        <v>0.81530000000000002</v>
      </c>
      <c r="K119" s="3385">
        <f t="shared" si="35"/>
        <v>0.81530000000000002</v>
      </c>
      <c r="L119" s="3385">
        <f t="shared" si="35"/>
        <v>0.81530000000000002</v>
      </c>
      <c r="M119" s="3408">
        <f t="shared" si="35"/>
        <v>0.81530000000000002</v>
      </c>
      <c r="N119" s="3395"/>
    </row>
    <row r="120" spans="1:14">
      <c r="A120" s="3407" t="s">
        <v>3328</v>
      </c>
      <c r="B120" s="3385">
        <f>ROUND(0.9448-0.0115*B116,4)</f>
        <v>0.9304</v>
      </c>
      <c r="C120" s="3385">
        <f>B120</f>
        <v>0.9304</v>
      </c>
      <c r="D120" s="3385">
        <f>ROUND(0.937-0.0145*B116,4)</f>
        <v>0.91890000000000005</v>
      </c>
      <c r="E120" s="3385">
        <f t="shared" si="36"/>
        <v>0.91890000000000005</v>
      </c>
      <c r="F120" s="3385">
        <f t="shared" si="36"/>
        <v>0.91890000000000005</v>
      </c>
      <c r="G120" s="3385">
        <f t="shared" si="36"/>
        <v>0.91890000000000005</v>
      </c>
      <c r="H120" s="3385">
        <f t="shared" si="36"/>
        <v>0.91890000000000005</v>
      </c>
      <c r="I120" s="3385">
        <f>ROUND(0.7965-0.0185*B116,4)</f>
        <v>0.77339999999999998</v>
      </c>
      <c r="J120" s="3385">
        <f t="shared" si="35"/>
        <v>0.77339999999999998</v>
      </c>
      <c r="K120" s="3385">
        <f t="shared" si="35"/>
        <v>0.77339999999999998</v>
      </c>
      <c r="L120" s="3385">
        <f t="shared" si="35"/>
        <v>0.77339999999999998</v>
      </c>
      <c r="M120" s="3408">
        <f t="shared" si="35"/>
        <v>0.77339999999999998</v>
      </c>
      <c r="N120" s="3395"/>
    </row>
    <row r="121" spans="1:14" ht="13.5" thickBot="1">
      <c r="A121" s="3409" t="s">
        <v>3329</v>
      </c>
      <c r="B121" s="3410">
        <f>ROUND(0.7836-0.012*B116,4)</f>
        <v>0.76859999999999995</v>
      </c>
      <c r="C121" s="3410">
        <f>B121</f>
        <v>0.76859999999999995</v>
      </c>
      <c r="D121" s="3410">
        <f>ROUND(0.753-0.015*B116,4)</f>
        <v>0.73429999999999995</v>
      </c>
      <c r="E121" s="3410">
        <f>D121</f>
        <v>0.73429999999999995</v>
      </c>
      <c r="F121" s="3410">
        <f>E121</f>
        <v>0.73429999999999995</v>
      </c>
      <c r="G121" s="3410">
        <f>ROUND(0.6612-0.018*B116,4)</f>
        <v>0.63870000000000005</v>
      </c>
      <c r="H121" s="3410">
        <f>G121</f>
        <v>0.63870000000000005</v>
      </c>
      <c r="I121" s="3410">
        <f>ROUND(0.5905-0.019*B116,4)</f>
        <v>0.56679999999999997</v>
      </c>
      <c r="J121" s="3410">
        <f t="shared" si="35"/>
        <v>0.56679999999999997</v>
      </c>
      <c r="K121" s="3410">
        <f t="shared" si="35"/>
        <v>0.56679999999999997</v>
      </c>
      <c r="L121" s="3410">
        <f t="shared" si="35"/>
        <v>0.56679999999999997</v>
      </c>
      <c r="M121" s="3411">
        <f t="shared" si="35"/>
        <v>0.56679999999999997</v>
      </c>
      <c r="N121" s="3395"/>
    </row>
    <row r="122" spans="1:14">
      <c r="A122" s="3412" t="s">
        <v>2610</v>
      </c>
      <c r="B122" s="3385">
        <f>ROUND(0.9404-0.0106*B116,4)</f>
        <v>0.92720000000000002</v>
      </c>
      <c r="C122" s="3385">
        <f>B122</f>
        <v>0.92720000000000002</v>
      </c>
      <c r="D122" s="3385">
        <f>ROUND(0.8955-0.0135*B116,4)</f>
        <v>0.87860000000000005</v>
      </c>
      <c r="E122" s="3385">
        <f t="shared" ref="E122:H122" si="37">D122</f>
        <v>0.87860000000000005</v>
      </c>
      <c r="F122" s="3385">
        <f t="shared" si="37"/>
        <v>0.87860000000000005</v>
      </c>
      <c r="G122" s="3385">
        <f t="shared" si="37"/>
        <v>0.87860000000000005</v>
      </c>
      <c r="H122" s="3385">
        <f t="shared" si="37"/>
        <v>0.87860000000000005</v>
      </c>
      <c r="I122" s="3385">
        <f>ROUND(0.7632-0.0166*B116,4)</f>
        <v>0.74250000000000005</v>
      </c>
      <c r="J122" s="3385">
        <f t="shared" si="35"/>
        <v>0.74250000000000005</v>
      </c>
      <c r="K122" s="3385">
        <f t="shared" si="35"/>
        <v>0.74250000000000005</v>
      </c>
      <c r="L122" s="3385">
        <f t="shared" si="35"/>
        <v>0.74250000000000005</v>
      </c>
      <c r="M122" s="3408">
        <f t="shared" si="35"/>
        <v>0.74250000000000005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20.350000000000001</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28535</v>
      </c>
      <c r="C2" s="1387" t="s">
        <v>805</v>
      </c>
      <c r="D2" s="1387"/>
      <c r="E2" s="1388"/>
      <c r="F2" s="1389"/>
      <c r="G2" s="2703"/>
      <c r="H2" s="2692"/>
      <c r="I2" s="2692"/>
      <c r="J2" s="2692"/>
      <c r="K2" s="2693"/>
      <c r="L2" s="2692"/>
      <c r="M2" s="2692"/>
    </row>
    <row r="3" spans="1:37" ht="18" customHeight="1" thickBot="1">
      <c r="A3" s="1390" t="s">
        <v>806</v>
      </c>
      <c r="B3" s="1391">
        <f ca="1">IF(ISERROR(B2*10000/F43),0,ROUND(B2*10000/F43,0))</f>
        <v>13385</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2726</v>
      </c>
      <c r="D5" s="1364" t="s">
        <v>693</v>
      </c>
      <c r="E5" s="1071"/>
      <c r="F5" s="1072"/>
      <c r="G5" s="1384"/>
      <c r="H5" s="299">
        <v>1</v>
      </c>
      <c r="I5" s="300" t="s">
        <v>692</v>
      </c>
      <c r="J5" s="1070">
        <f ca="1">J6+J10+J12</f>
        <v>0</v>
      </c>
      <c r="K5" s="1364" t="s">
        <v>693</v>
      </c>
      <c r="L5" s="1071"/>
      <c r="M5" s="1072"/>
    </row>
    <row r="6" spans="1:37" ht="18" customHeight="1">
      <c r="A6" s="1069" t="s">
        <v>398</v>
      </c>
      <c r="B6" s="3634" t="s">
        <v>694</v>
      </c>
      <c r="C6" s="1074">
        <f ca="1">ROUND(F6*F8*F7*(1-F9)/10000,0)</f>
        <v>2723</v>
      </c>
      <c r="D6" s="155" t="s">
        <v>2108</v>
      </c>
      <c r="E6" s="302" t="s">
        <v>696</v>
      </c>
      <c r="F6" s="303">
        <f ca="1">INDIRECT("'数据-取费表'!u"&amp;$G$1)</f>
        <v>3.5</v>
      </c>
      <c r="G6" s="1384"/>
      <c r="H6" s="1069" t="s">
        <v>398</v>
      </c>
      <c r="I6" s="3634" t="s">
        <v>694</v>
      </c>
      <c r="J6" s="301">
        <f ca="1">ROUND(M6*M8*M7*(1-M9)/10000,0)</f>
        <v>0</v>
      </c>
      <c r="K6" s="155" t="s">
        <v>2107</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21318.1</v>
      </c>
      <c r="G7" s="1384"/>
      <c r="H7" s="304"/>
      <c r="I7" s="3635"/>
      <c r="J7" s="306"/>
      <c r="K7" s="307"/>
      <c r="L7" s="302" t="s">
        <v>697</v>
      </c>
      <c r="M7" s="303">
        <f ca="1">F7</f>
        <v>21318.1</v>
      </c>
    </row>
    <row r="8" spans="1:37" ht="18" customHeight="1">
      <c r="A8" s="304"/>
      <c r="B8" s="3635"/>
      <c r="C8" s="306"/>
      <c r="D8" s="307"/>
      <c r="E8" s="302" t="s">
        <v>698</v>
      </c>
      <c r="F8" s="303">
        <f ca="1">INDIRECT("'数据-取费表'!ai"&amp;$G$1)</f>
        <v>365</v>
      </c>
      <c r="G8" s="1384"/>
      <c r="H8" s="304"/>
      <c r="I8" s="3635"/>
      <c r="J8" s="306"/>
      <c r="K8" s="307"/>
      <c r="L8" s="302" t="s">
        <v>698</v>
      </c>
      <c r="M8" s="303">
        <f ca="1">INDIRECT("'数据-取费表'!ai"&amp;$G$1)</f>
        <v>365</v>
      </c>
    </row>
    <row r="9" spans="1:37" ht="18" customHeight="1">
      <c r="A9" s="304"/>
      <c r="B9" s="3636"/>
      <c r="C9" s="306"/>
      <c r="D9" s="307"/>
      <c r="E9" s="302" t="s">
        <v>699</v>
      </c>
      <c r="F9" s="312">
        <f ca="1">INDIRECT("'数据-取费表'!w"&amp;$G$1)</f>
        <v>0</v>
      </c>
      <c r="G9" s="1384"/>
      <c r="H9" s="304"/>
      <c r="I9" s="3636"/>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3414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12991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10659</v>
      </c>
      <c r="D14" s="1345" t="s">
        <v>708</v>
      </c>
      <c r="E14" s="1342"/>
      <c r="F14" s="319"/>
      <c r="G14" s="1384"/>
      <c r="H14" s="982" t="s">
        <v>398</v>
      </c>
      <c r="I14" s="302" t="s">
        <v>709</v>
      </c>
      <c r="J14" s="21">
        <f ca="1">C29</f>
        <v>16239</v>
      </c>
      <c r="K14" s="12"/>
      <c r="L14" s="807"/>
      <c r="M14" s="808"/>
    </row>
    <row r="15" spans="1:37" s="1397" customFormat="1" ht="18" customHeight="1" thickBot="1">
      <c r="A15" s="982" t="s">
        <v>399</v>
      </c>
      <c r="B15" s="302" t="s">
        <v>710</v>
      </c>
      <c r="C15" s="21">
        <f ca="1">ROUND(C14*F15,0)</f>
        <v>320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165</v>
      </c>
      <c r="K16" s="1087" t="s">
        <v>715</v>
      </c>
      <c r="L16" s="1088"/>
      <c r="M16" s="1072"/>
    </row>
    <row r="17" spans="1:37" s="1397" customFormat="1" ht="18" customHeight="1">
      <c r="A17" s="982" t="s">
        <v>681</v>
      </c>
      <c r="B17" s="302" t="s">
        <v>716</v>
      </c>
      <c r="C17" s="21">
        <f ca="1">ROUND(F17*(F43+INDIRECT("'数据-取费表'!S"&amp;$G$1))/10000,0)</f>
        <v>426</v>
      </c>
      <c r="D17" s="302" t="s">
        <v>717</v>
      </c>
      <c r="E17" s="302" t="s">
        <v>718</v>
      </c>
      <c r="F17" s="23">
        <f>'数据-取费表'!B35</f>
        <v>200</v>
      </c>
      <c r="G17" s="1396"/>
      <c r="H17" s="982" t="s">
        <v>398</v>
      </c>
      <c r="I17" s="302" t="s">
        <v>719</v>
      </c>
      <c r="J17" s="2316">
        <f ca="1">ROUND(IF(AND(项目基本情况!B11="自然人",项目基本情况!B10="北京市"),J6*M17/(1+'数据-取费表'!C42),J18+J19+J20),2)</f>
        <v>2.82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11618</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0.03</v>
      </c>
      <c r="G20" s="1396"/>
      <c r="H20" s="982" t="s">
        <v>680</v>
      </c>
      <c r="I20" s="155" t="s">
        <v>730</v>
      </c>
      <c r="J20" s="22">
        <f ca="1">ROUND(M20*M21/10000,2)</f>
        <v>2.82</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2347.3000000000002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162.38999999999999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-165</v>
      </c>
      <c r="K25" s="1095" t="s">
        <v>753</v>
      </c>
      <c r="L25" s="1096"/>
      <c r="M25" s="1097"/>
    </row>
    <row r="26" spans="1:37">
      <c r="A26" s="982" t="s">
        <v>397</v>
      </c>
      <c r="B26" s="302" t="s">
        <v>754</v>
      </c>
      <c r="C26" s="21">
        <f ca="1">ROUND((C19+C20)*F26,0)</f>
        <v>2393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16239</v>
      </c>
      <c r="D29" s="1092"/>
      <c r="E29" s="1090"/>
      <c r="F29" s="1093"/>
      <c r="G29" s="1396"/>
      <c r="H29" s="334" t="s">
        <v>396</v>
      </c>
      <c r="I29" s="335" t="s">
        <v>768</v>
      </c>
      <c r="J29" s="336">
        <f ca="1">ROUND(J26/(1+F40)^F41,0)</f>
        <v>0</v>
      </c>
      <c r="K29" s="337" t="s">
        <v>769</v>
      </c>
      <c r="L29" s="338"/>
      <c r="M29" s="339">
        <f ca="1">INDIRECT("'数据-取费表'!k"&amp;$G$1)</f>
        <v>21318.1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668</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459.25</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145.22999999999999</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311.2</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2.82</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2347.3000000000002</v>
      </c>
      <c r="G35" s="1384"/>
      <c r="H35" s="2694"/>
      <c r="I35" s="1398"/>
      <c r="J35" s="1399"/>
      <c r="K35" s="2698"/>
      <c r="L35" s="2697"/>
      <c r="M35" s="2697"/>
    </row>
    <row r="36" spans="1:18" ht="18" customHeight="1">
      <c r="A36" s="1102" t="s">
        <v>402</v>
      </c>
      <c r="B36" s="302" t="s">
        <v>738</v>
      </c>
      <c r="C36" s="21">
        <f ca="1">ROUND(C29*F36,2)</f>
        <v>162.38999999999999</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19.489999999999998</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27.26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2058</v>
      </c>
      <c r="D39" s="1095" t="s">
        <v>773</v>
      </c>
      <c r="E39" s="1096"/>
      <c r="F39" s="1097"/>
      <c r="G39" s="1384"/>
      <c r="H39" s="2697"/>
      <c r="I39" s="1398"/>
      <c r="J39" s="1399"/>
      <c r="K39" s="2701"/>
      <c r="L39" s="2697"/>
      <c r="M39" s="2697"/>
    </row>
    <row r="40" spans="1:18" ht="18" customHeight="1">
      <c r="A40" s="299" t="s">
        <v>395</v>
      </c>
      <c r="B40" s="300" t="s">
        <v>774</v>
      </c>
      <c r="C40" s="301">
        <f ca="1">ROUND(C39*(1-((1+F42)/(1+F40))^F41)/(F40-F42),0)</f>
        <v>26817</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20.350000000000001</v>
      </c>
      <c r="G41" s="1384"/>
      <c r="H41" s="1191"/>
      <c r="I41" s="1398"/>
      <c r="J41" s="1399"/>
      <c r="K41" s="2541"/>
      <c r="L41" s="1191"/>
      <c r="M41" s="1191"/>
    </row>
    <row r="42" spans="1:18" ht="18" customHeight="1">
      <c r="A42" s="308"/>
      <c r="B42" s="309"/>
      <c r="C42" s="310"/>
      <c r="D42" s="327"/>
      <c r="E42" s="302" t="s">
        <v>766</v>
      </c>
      <c r="F42" s="312">
        <f ca="1">INDIRECT("'数据-取费表'!v"&amp;$G$1)</f>
        <v>1.4999999999999999E-2</v>
      </c>
      <c r="G42" s="1384"/>
      <c r="H42" s="1191"/>
      <c r="I42" s="1398"/>
      <c r="J42" s="1399"/>
      <c r="K42" s="2541"/>
      <c r="L42" s="1191"/>
      <c r="M42" s="1191"/>
    </row>
    <row r="43" spans="1:18" ht="18" customHeight="1" thickBot="1">
      <c r="A43" s="334" t="s">
        <v>396</v>
      </c>
      <c r="B43" s="335" t="s">
        <v>776</v>
      </c>
      <c r="C43" s="336">
        <f ca="1">ROUND(C40*10000/F43,0)</f>
        <v>12579</v>
      </c>
      <c r="D43" s="337" t="s">
        <v>777</v>
      </c>
      <c r="E43" s="338" t="s">
        <v>778</v>
      </c>
      <c r="F43" s="339">
        <f ca="1">INDIRECT("'数据-取费表'!k"&amp;$G$1)</f>
        <v>21318.1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-28958</v>
      </c>
      <c r="D46" s="1406" t="str">
        <f>C2</f>
        <v>万元</v>
      </c>
      <c r="E46" s="1400"/>
      <c r="F46" s="1400"/>
      <c r="I46" s="1407" t="s">
        <v>810</v>
      </c>
      <c r="J46" s="1408"/>
      <c r="K46" s="1409"/>
      <c r="L46" s="1410">
        <f ca="1">IF(M47="住宅",0,IF(L48&gt;J51,L60,J60))</f>
        <v>1718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40</v>
      </c>
      <c r="M47" s="1380" t="str">
        <f>IF(ISNUMBER(FIND("住宅",C1)),"住宅","非住宅")</f>
        <v>非住宅</v>
      </c>
      <c r="O47" s="1418" t="s">
        <v>403</v>
      </c>
      <c r="P47" s="1419" t="s">
        <v>817</v>
      </c>
      <c r="Q47" s="1420">
        <f ca="1">C40+J29</f>
        <v>26817</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20.350000000000001</v>
      </c>
      <c r="O48" s="1418" t="s">
        <v>404</v>
      </c>
      <c r="P48" s="1419" t="s">
        <v>821</v>
      </c>
      <c r="Q48" s="1420">
        <f ca="1">J60</f>
        <v>1718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2012</v>
      </c>
      <c r="K49" s="1423" t="s">
        <v>824</v>
      </c>
      <c r="L49" s="1427"/>
      <c r="O49" s="1428" t="s">
        <v>405</v>
      </c>
      <c r="P49" s="1419" t="s">
        <v>825</v>
      </c>
      <c r="Q49" s="1420">
        <f ca="1">C29</f>
        <v>16239</v>
      </c>
      <c r="R49" s="1420" t="s">
        <v>818</v>
      </c>
    </row>
    <row r="50" spans="1:18" s="1384" customFormat="1" ht="13.5" thickBot="1">
      <c r="A50" s="976"/>
      <c r="B50" s="979"/>
      <c r="C50" s="1118"/>
      <c r="D50" s="953"/>
      <c r="E50" s="1056" t="s">
        <v>697</v>
      </c>
      <c r="F50" s="1057">
        <f ca="1">F7</f>
        <v>21318.1</v>
      </c>
      <c r="H50" s="723"/>
      <c r="I50" s="1421" t="s">
        <v>826</v>
      </c>
      <c r="J50" s="1429">
        <f>SUMPRODUCT((I63:I65=J47)*(J62:L62=J48)*(J63:L65))</f>
        <v>60</v>
      </c>
      <c r="K50" s="1423" t="s">
        <v>827</v>
      </c>
      <c r="L50" s="1427"/>
      <c r="M50" s="1430"/>
      <c r="O50" s="1428" t="s">
        <v>406</v>
      </c>
      <c r="P50" s="1419" t="s">
        <v>828</v>
      </c>
      <c r="Q50" s="1431">
        <f ca="1">J58</f>
        <v>0.46100000000000002</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19286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20.350000000000001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20.350000000000001</v>
      </c>
      <c r="K53" s="3632" t="s">
        <v>837</v>
      </c>
      <c r="L53" s="3633"/>
      <c r="O53" s="1418" t="s">
        <v>409</v>
      </c>
      <c r="P53" s="1419" t="s">
        <v>838</v>
      </c>
      <c r="Q53" s="1420">
        <f ca="1">Q47+Q48</f>
        <v>28535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0.46100000000000002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12991</v>
      </c>
      <c r="D56" s="1447"/>
      <c r="E56" s="1448"/>
      <c r="F56" s="1440"/>
      <c r="I56" s="1449" t="s">
        <v>842</v>
      </c>
      <c r="J56" s="1450" t="s">
        <v>3386</v>
      </c>
      <c r="K56" s="1421" t="s">
        <v>843</v>
      </c>
      <c r="L56" s="1424" t="str">
        <f ca="1">IF(L48&lt;J51,"——",L48-J53)</f>
        <v>——</v>
      </c>
      <c r="O56" s="1418" t="s">
        <v>403</v>
      </c>
      <c r="P56" s="1419" t="s">
        <v>817</v>
      </c>
      <c r="Q56" s="1420">
        <f ca="1">C40+J29</f>
        <v>26817</v>
      </c>
      <c r="R56" s="1420" t="s">
        <v>818</v>
      </c>
    </row>
    <row r="57" spans="1:18" s="1384" customFormat="1" ht="24.75" thickBot="1">
      <c r="A57" s="1451"/>
      <c r="B57" s="950" t="s">
        <v>767</v>
      </c>
      <c r="C57" s="238">
        <f ca="1">C29</f>
        <v>16239</v>
      </c>
      <c r="D57" s="1452"/>
      <c r="E57" s="1453"/>
      <c r="F57" s="1454"/>
      <c r="I57" s="1455" t="s">
        <v>844</v>
      </c>
      <c r="J57" s="1456">
        <f ca="1">IF(OR(M47="住宅",J51&lt;L48,J56="是"),"——",J51-L48)</f>
        <v>27.65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185</v>
      </c>
      <c r="D58" s="960" t="s">
        <v>715</v>
      </c>
      <c r="E58" s="961"/>
      <c r="F58" s="962"/>
      <c r="I58" s="1455" t="s">
        <v>848</v>
      </c>
      <c r="J58" s="1457">
        <f ca="1">IF(J55&lt;0.4,0.4,J55)</f>
        <v>0.46100000000000002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7486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2.82</v>
      </c>
      <c r="D62" s="965" t="s">
        <v>786</v>
      </c>
      <c r="E62" s="950" t="s">
        <v>787</v>
      </c>
      <c r="F62" s="325">
        <f t="shared" si="0"/>
        <v>12</v>
      </c>
      <c r="I62" s="1462" t="s">
        <v>858</v>
      </c>
      <c r="J62" s="1463" t="s">
        <v>859</v>
      </c>
      <c r="K62" s="1463" t="s">
        <v>860</v>
      </c>
      <c r="L62" s="1463" t="s">
        <v>861</v>
      </c>
      <c r="M62" s="1464" t="s">
        <v>862</v>
      </c>
      <c r="O62" s="1418" t="s">
        <v>409</v>
      </c>
      <c r="P62" s="1419" t="s">
        <v>863</v>
      </c>
      <c r="Q62" s="1420">
        <f ca="1">Q56+Q57</f>
        <v>26817</v>
      </c>
      <c r="R62" s="1420" t="s">
        <v>410</v>
      </c>
    </row>
    <row r="63" spans="1:18" s="1384" customFormat="1" ht="13.5" thickBot="1">
      <c r="A63" s="326"/>
      <c r="B63" s="956"/>
      <c r="C63" s="26"/>
      <c r="D63" s="966"/>
      <c r="E63" s="950" t="s">
        <v>788</v>
      </c>
      <c r="F63" s="303">
        <f t="shared" ca="1" si="0"/>
        <v>2347.3000000000002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162.38999999999999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19.489999999999998</v>
      </c>
      <c r="D65" s="964" t="s">
        <v>743</v>
      </c>
      <c r="E65" s="950" t="s">
        <v>744</v>
      </c>
      <c r="F65" s="330">
        <f t="shared" ca="1" si="0"/>
        <v>1.5E-3</v>
      </c>
      <c r="I65" s="1462" t="s">
        <v>867</v>
      </c>
      <c r="J65" s="1463">
        <v>40</v>
      </c>
      <c r="K65" s="1463">
        <v>30</v>
      </c>
      <c r="L65" s="1463">
        <v>50</v>
      </c>
      <c r="M65" s="1465">
        <v>0.02</v>
      </c>
      <c r="O65" s="1418" t="s">
        <v>403</v>
      </c>
      <c r="P65" s="1419" t="s">
        <v>868</v>
      </c>
      <c r="Q65" s="1420">
        <f ca="1">C40+J29</f>
        <v>26817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-185</v>
      </c>
      <c r="D67" s="963" t="s">
        <v>753</v>
      </c>
      <c r="E67" s="968"/>
      <c r="F67" s="969"/>
      <c r="O67" s="1428" t="s">
        <v>405</v>
      </c>
      <c r="P67" s="1419" t="s">
        <v>850</v>
      </c>
      <c r="Q67" s="1466">
        <f ca="1">L51</f>
        <v>19286</v>
      </c>
      <c r="R67" s="1420" t="s">
        <v>870</v>
      </c>
    </row>
    <row r="68" spans="1:18" s="1384" customFormat="1" ht="16.5" thickBot="1">
      <c r="A68" s="947" t="s">
        <v>395</v>
      </c>
      <c r="B68" s="948" t="s">
        <v>774</v>
      </c>
      <c r="C68" s="301">
        <f ca="1">ROUND(C67*(1-((1+F70)/(1+F68))^F69)/(F68-F70),0)</f>
        <v>-2141</v>
      </c>
      <c r="D68" s="965" t="s">
        <v>758</v>
      </c>
      <c r="E68" s="950" t="s">
        <v>759</v>
      </c>
      <c r="F68" s="312">
        <f ca="1">F40</f>
        <v>0.06</v>
      </c>
      <c r="O68" s="1428" t="s">
        <v>406</v>
      </c>
      <c r="P68" s="1467" t="s">
        <v>871</v>
      </c>
      <c r="Q68" s="1420">
        <f ca="1">ROUND(Q69-Q70*Q71,0)</f>
        <v>1149</v>
      </c>
      <c r="R68" s="1420" t="s">
        <v>414</v>
      </c>
    </row>
    <row r="69" spans="1:18" s="1384" customFormat="1" ht="13.5" thickBot="1">
      <c r="A69" s="951"/>
      <c r="B69" s="952"/>
      <c r="C69" s="306"/>
      <c r="D69" s="970" t="s">
        <v>762</v>
      </c>
      <c r="E69" s="950" t="s">
        <v>763</v>
      </c>
      <c r="F69" s="333">
        <f ca="1">F41</f>
        <v>20.350000000000001</v>
      </c>
      <c r="O69" s="1428" t="s">
        <v>411</v>
      </c>
      <c r="P69" s="1467" t="s">
        <v>872</v>
      </c>
      <c r="Q69" s="1420">
        <f ca="1">C39</f>
        <v>2058</v>
      </c>
      <c r="R69" s="1420" t="s">
        <v>818</v>
      </c>
    </row>
    <row r="70" spans="1:18" s="1384" customFormat="1" ht="13.5" thickBot="1">
      <c r="A70" s="954"/>
      <c r="B70" s="955"/>
      <c r="C70" s="310"/>
      <c r="D70" s="966"/>
      <c r="E70" s="950" t="s">
        <v>766</v>
      </c>
      <c r="F70" s="1054"/>
      <c r="O70" s="1428" t="s">
        <v>412</v>
      </c>
      <c r="P70" s="1467" t="s">
        <v>873</v>
      </c>
      <c r="Q70" s="1420">
        <f ca="1">C13</f>
        <v>12991</v>
      </c>
      <c r="R70" s="1420" t="s">
        <v>818</v>
      </c>
    </row>
    <row r="71" spans="1:18" s="1384" customFormat="1" ht="13.5" thickBot="1">
      <c r="A71" s="971" t="s">
        <v>396</v>
      </c>
      <c r="B71" s="972" t="s">
        <v>776</v>
      </c>
      <c r="C71" s="336">
        <f ca="1">ROUND(C68*10000/F71,0)</f>
        <v>-1004</v>
      </c>
      <c r="D71" s="973" t="s">
        <v>777</v>
      </c>
      <c r="E71" s="974" t="s">
        <v>778</v>
      </c>
      <c r="F71" s="339">
        <f ca="1">F43</f>
        <v>21318.1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909</v>
      </c>
      <c r="D75" s="1384"/>
      <c r="E75" s="1384"/>
      <c r="F75" s="1384"/>
      <c r="K75" s="1402"/>
      <c r="L75" s="1384"/>
      <c r="O75" s="1418" t="s">
        <v>409</v>
      </c>
      <c r="P75" s="1419" t="s">
        <v>838</v>
      </c>
      <c r="Q75" s="1420">
        <f ca="1">Q65+Q66</f>
        <v>26817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0.55800000000000005</v>
      </c>
    </row>
    <row r="80" spans="1:18">
      <c r="B80" s="340" t="s">
        <v>800</v>
      </c>
      <c r="C80" s="274">
        <f ca="1">ROUND(C75/C39,3)</f>
        <v>0.442</v>
      </c>
    </row>
    <row r="81" spans="2:3">
      <c r="B81" s="270" t="s">
        <v>801</v>
      </c>
      <c r="C81" s="238"/>
    </row>
    <row r="82" spans="2:3">
      <c r="B82" s="273" t="s">
        <v>802</v>
      </c>
      <c r="C82" s="275">
        <f ca="1">1-C83</f>
        <v>0.51600000000000001</v>
      </c>
    </row>
    <row r="83" spans="2:3">
      <c r="B83" s="273" t="s">
        <v>803</v>
      </c>
      <c r="C83" s="274">
        <f ca="1">ROUND(C13/C40,3)</f>
        <v>0.48399999999999999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4" t="s">
        <v>694</v>
      </c>
      <c r="C6" s="1074">
        <f ca="1">ROUND(F6*F8*F7*(1-F9),0)</f>
        <v>0</v>
      </c>
      <c r="D6" s="155" t="s">
        <v>2105</v>
      </c>
      <c r="E6" s="302" t="s">
        <v>696</v>
      </c>
      <c r="F6" s="303">
        <f ca="1">INDIRECT("'数据-取费表'!u"&amp;$G$1)</f>
        <v>0</v>
      </c>
      <c r="G6" s="1384"/>
      <c r="H6" s="1069" t="s">
        <v>398</v>
      </c>
      <c r="I6" s="3634" t="s">
        <v>694</v>
      </c>
      <c r="J6" s="301">
        <f ca="1">ROUND(M6*M8*M7*(1-M9),0)</f>
        <v>0</v>
      </c>
      <c r="K6" s="1376" t="s">
        <v>2106</v>
      </c>
      <c r="L6" s="302" t="s">
        <v>696</v>
      </c>
      <c r="M6" s="303">
        <f ca="1">INDIRECT("'数据-取费表'!z"&amp;$G$1)</f>
        <v>0</v>
      </c>
    </row>
    <row r="7" spans="1:37" ht="18" customHeight="1">
      <c r="A7" s="1073"/>
      <c r="B7" s="3635"/>
      <c r="C7" s="1075"/>
      <c r="D7" s="307"/>
      <c r="E7" s="1076" t="s">
        <v>697</v>
      </c>
      <c r="F7" s="303">
        <f ca="1">IF(INDIRECT("'数据-取费表'!ah"&amp;$G$1)="",INDIRECT("'数据-取费表'!k"&amp;$G$1),INDIRECT("'数据-取费表'!ah"&amp;$G$1))</f>
        <v>0</v>
      </c>
      <c r="G7" s="1384"/>
      <c r="H7" s="304"/>
      <c r="I7" s="3635"/>
      <c r="J7" s="306"/>
      <c r="K7" s="307"/>
      <c r="L7" s="302" t="s">
        <v>697</v>
      </c>
      <c r="M7" s="303">
        <f ca="1">F7</f>
        <v>0</v>
      </c>
    </row>
    <row r="8" spans="1:37" ht="18" customHeight="1">
      <c r="A8" s="304"/>
      <c r="B8" s="3635"/>
      <c r="C8" s="306"/>
      <c r="D8" s="307"/>
      <c r="E8" s="302" t="s">
        <v>698</v>
      </c>
      <c r="F8" s="303">
        <f ca="1">INDIRECT("'数据-取费表'!ai"&amp;$G$1)</f>
        <v>0</v>
      </c>
      <c r="G8" s="1384"/>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4"/>
      <c r="H9" s="304"/>
      <c r="I9" s="363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3349</v>
      </c>
      <c r="B45" s="1400"/>
      <c r="C45" s="1472" t="e">
        <f ca="1">ROUND((C68-C40)/10000,4)</f>
        <v>#DIV/0!</v>
      </c>
      <c r="D45" s="3429"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2" t="s">
        <v>837</v>
      </c>
      <c r="L53" s="363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3356</v>
      </c>
      <c r="E2" s="3441"/>
      <c r="F2" s="2843"/>
      <c r="G2" s="2844"/>
      <c r="H2" s="2845"/>
      <c r="I2" s="2846"/>
      <c r="J2" s="3637" t="s">
        <v>2315</v>
      </c>
      <c r="K2" s="3638"/>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39" t="s">
        <v>2325</v>
      </c>
      <c r="K3" s="3640"/>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39" t="s">
        <v>2327</v>
      </c>
      <c r="K4" s="3640"/>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41" t="s">
        <v>2331</v>
      </c>
      <c r="B6" s="3642"/>
      <c r="C6" s="3643"/>
      <c r="D6" s="2867"/>
      <c r="E6" s="2868"/>
      <c r="F6" s="2869"/>
      <c r="G6" s="2870"/>
      <c r="H6" s="2845"/>
      <c r="I6" s="2846"/>
      <c r="J6" s="3644">
        <v>1</v>
      </c>
      <c r="K6" s="3645"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44"/>
      <c r="K7" s="3646"/>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48" t="s">
        <v>2345</v>
      </c>
      <c r="C8" s="3649"/>
      <c r="D8" s="2886" t="s">
        <v>2346</v>
      </c>
      <c r="E8" s="2887" t="s">
        <v>2347</v>
      </c>
      <c r="F8" s="2888" t="s">
        <v>2348</v>
      </c>
      <c r="G8" s="2889"/>
      <c r="H8" s="2845"/>
      <c r="I8" s="2846"/>
      <c r="J8" s="3644"/>
      <c r="K8" s="3646"/>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48" t="s">
        <v>2351</v>
      </c>
      <c r="C9" s="3649"/>
      <c r="D9" s="2886">
        <f>ROUND(D6*E9,0)</f>
        <v>0</v>
      </c>
      <c r="E9" s="2890"/>
      <c r="F9" s="2891" t="s">
        <v>2352</v>
      </c>
      <c r="G9" s="2870"/>
      <c r="H9" s="2845"/>
      <c r="I9" s="2846"/>
      <c r="J9" s="3644"/>
      <c r="K9" s="3646"/>
      <c r="L9" s="2880" t="s">
        <v>2353</v>
      </c>
      <c r="M9" s="2881"/>
      <c r="N9" s="2857"/>
      <c r="O9" s="2882"/>
      <c r="P9" s="2882"/>
      <c r="Q9" s="2883">
        <v>365</v>
      </c>
      <c r="R9" s="2884">
        <f t="shared" si="0"/>
        <v>0</v>
      </c>
      <c r="S9" s="2838"/>
      <c r="T9" s="2838"/>
      <c r="U9" s="2838"/>
      <c r="V9" s="2846"/>
    </row>
    <row r="10" spans="1:22" s="2850" customFormat="1" ht="13.15" customHeight="1">
      <c r="A10" s="2885">
        <v>2</v>
      </c>
      <c r="B10" s="3648" t="s">
        <v>2354</v>
      </c>
      <c r="C10" s="3649"/>
      <c r="D10" s="2886">
        <f>ROUND(D6*E10,0)</f>
        <v>0</v>
      </c>
      <c r="E10" s="2890"/>
      <c r="F10" s="2891" t="s">
        <v>2355</v>
      </c>
      <c r="G10" s="2870"/>
      <c r="H10" s="2845"/>
      <c r="I10" s="2846"/>
      <c r="J10" s="3644"/>
      <c r="K10" s="3646"/>
      <c r="L10" s="2880" t="s">
        <v>2356</v>
      </c>
      <c r="M10" s="2881"/>
      <c r="N10" s="2857"/>
      <c r="O10" s="2882"/>
      <c r="P10" s="2882"/>
      <c r="Q10" s="2883">
        <v>365</v>
      </c>
      <c r="R10" s="2884">
        <f t="shared" si="0"/>
        <v>0</v>
      </c>
      <c r="S10" s="2838"/>
      <c r="T10" s="2838"/>
      <c r="U10" s="2838"/>
      <c r="V10" s="2846"/>
    </row>
    <row r="11" spans="1:22" s="2850" customFormat="1" ht="13.15" customHeight="1">
      <c r="A11" s="2885">
        <v>3</v>
      </c>
      <c r="B11" s="3648" t="s">
        <v>2357</v>
      </c>
      <c r="C11" s="3649"/>
      <c r="D11" s="2886">
        <f>D12+D14+D15+D16</f>
        <v>0</v>
      </c>
      <c r="E11" s="2892" t="e">
        <f>D11/D6</f>
        <v>#DIV/0!</v>
      </c>
      <c r="F11" s="2888"/>
      <c r="G11" s="2889"/>
      <c r="H11" s="2845"/>
      <c r="I11" s="2846"/>
      <c r="J11" s="3644"/>
      <c r="K11" s="3646"/>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0" t="s">
        <v>2360</v>
      </c>
      <c r="C12" s="3651"/>
      <c r="D12" s="2894">
        <f>ROUND(D13*1.2%*(1-30%),0)</f>
        <v>0</v>
      </c>
      <c r="E12" s="2895">
        <v>1.2E-2</v>
      </c>
      <c r="F12" s="2888" t="s">
        <v>2361</v>
      </c>
      <c r="G12" s="2889"/>
      <c r="H12" s="2845"/>
      <c r="I12" s="2846"/>
      <c r="J12" s="3644"/>
      <c r="K12" s="3646"/>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44"/>
      <c r="K13" s="3646"/>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0" t="s">
        <v>2366</v>
      </c>
      <c r="C14" s="3651"/>
      <c r="D14" s="2894">
        <f>ROUND(E14*B5/10000,0)</f>
        <v>0</v>
      </c>
      <c r="E14" s="2883"/>
      <c r="F14" s="2888" t="s">
        <v>2367</v>
      </c>
      <c r="G14" s="2889"/>
      <c r="H14" s="2845"/>
      <c r="I14" s="2846"/>
      <c r="J14" s="3644"/>
      <c r="K14" s="3647"/>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50" t="s">
        <v>2370</v>
      </c>
      <c r="C15" s="3651"/>
      <c r="D15" s="2894">
        <f>ROUND(D6*E15,0)</f>
        <v>0</v>
      </c>
      <c r="E15" s="2895">
        <v>5.5E-2</v>
      </c>
      <c r="F15" s="2888" t="s">
        <v>2371</v>
      </c>
      <c r="G15" s="2870"/>
      <c r="H15" s="2845"/>
      <c r="I15" s="2846"/>
      <c r="J15" s="3644">
        <v>2</v>
      </c>
      <c r="K15" s="3645"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0" t="s">
        <v>2379</v>
      </c>
      <c r="C16" s="3651"/>
      <c r="D16" s="2905">
        <f>D6*E16</f>
        <v>0</v>
      </c>
      <c r="E16" s="2906"/>
      <c r="F16" s="2891" t="s">
        <v>2380</v>
      </c>
      <c r="G16" s="2870"/>
      <c r="H16" s="2845"/>
      <c r="I16" s="2846"/>
      <c r="J16" s="3644"/>
      <c r="K16" s="3646"/>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52" t="s">
        <v>2382</v>
      </c>
      <c r="C17" s="3653"/>
      <c r="D17" s="2908">
        <f>ROUND(D6*E17,0)</f>
        <v>0</v>
      </c>
      <c r="E17" s="2909"/>
      <c r="F17" s="2910" t="s">
        <v>2383</v>
      </c>
      <c r="G17" s="2870"/>
      <c r="H17" s="2845"/>
      <c r="I17" s="2846"/>
      <c r="J17" s="3644"/>
      <c r="K17" s="3646"/>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44"/>
      <c r="K18" s="3646"/>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44"/>
      <c r="K19" s="3647"/>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4">
        <v>3</v>
      </c>
      <c r="K20" s="3645"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44"/>
      <c r="K21" s="3646"/>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44"/>
      <c r="K22" s="3646"/>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44"/>
      <c r="K23" s="3646"/>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44"/>
      <c r="K24" s="3647"/>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54">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5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37" t="s">
        <v>2315</v>
      </c>
      <c r="K32" s="3638"/>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39" t="s">
        <v>2325</v>
      </c>
      <c r="K33" s="3640"/>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39" t="s">
        <v>2327</v>
      </c>
      <c r="K34" s="364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44">
        <v>1</v>
      </c>
      <c r="K36" s="3645"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44"/>
      <c r="K37" s="3646"/>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4"/>
      <c r="K38" s="3646"/>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44"/>
      <c r="K39" s="3646"/>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44"/>
      <c r="K40" s="3647"/>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4">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5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28535</v>
      </c>
      <c r="C2" s="1872" t="s">
        <v>1650</v>
      </c>
      <c r="D2" s="1873" t="s">
        <v>1651</v>
      </c>
      <c r="E2" s="2604">
        <f>SUM(E6:E13)</f>
        <v>21318.1</v>
      </c>
      <c r="F2" s="2704"/>
      <c r="G2" s="1489"/>
      <c r="H2" s="1489"/>
      <c r="I2" s="1489"/>
      <c r="J2" s="1489"/>
      <c r="K2" s="1489"/>
      <c r="L2" s="1489"/>
      <c r="M2" s="1489"/>
      <c r="N2" s="1489"/>
      <c r="O2" s="1489"/>
      <c r="P2" s="1489"/>
      <c r="Q2" s="1489"/>
      <c r="R2" s="1489"/>
      <c r="S2" s="1489"/>
    </row>
    <row r="3" spans="1:22" ht="15.75">
      <c r="A3" s="1870" t="s">
        <v>686</v>
      </c>
      <c r="B3" s="2598">
        <f ca="1">ROUND(B2*10000/E2,0)</f>
        <v>13385</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56" t="s">
        <v>1653</v>
      </c>
      <c r="C5" s="3657"/>
      <c r="D5" s="2705"/>
      <c r="E5" s="1874" t="s">
        <v>1654</v>
      </c>
      <c r="F5" s="1875"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28535</v>
      </c>
      <c r="C6" s="1872" t="s">
        <v>1650</v>
      </c>
      <c r="D6" s="2706"/>
      <c r="E6" s="2603">
        <f>IF(OR(A6=0,F6="否"),0,'数据-取费表'!K6+'数据-取费表'!S6)</f>
        <v>21318.1</v>
      </c>
      <c r="F6" s="1876"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1650</v>
      </c>
      <c r="D7" s="2706"/>
      <c r="E7" s="2603">
        <f>IF(OR(A7=0,F7="否"),0,'数据-取费表'!K7+'数据-取费表'!S7)</f>
        <v>0</v>
      </c>
      <c r="F7" s="1876"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1650</v>
      </c>
      <c r="D8" s="2706"/>
      <c r="E8" s="2603">
        <f>IF(OR(A8=0,F8="否"),0,'数据-取费表'!K8+'数据-取费表'!S8)</f>
        <v>0</v>
      </c>
      <c r="F8" s="1876"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1650</v>
      </c>
      <c r="D9" s="2706"/>
      <c r="E9" s="2603">
        <f>IF(OR(A9=0,F9="否"),0,'数据-取费表'!K9+'数据-取费表'!S9)</f>
        <v>0</v>
      </c>
      <c r="F9" s="1876"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1650</v>
      </c>
      <c r="D10" s="2706"/>
      <c r="E10" s="2603">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1650</v>
      </c>
      <c r="D11" s="2706"/>
      <c r="E11" s="2603">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1650</v>
      </c>
      <c r="D12" s="2706"/>
      <c r="E12" s="2603">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1650</v>
      </c>
      <c r="D13" s="2707"/>
      <c r="E13" s="2603">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21318.1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676" t="s">
        <v>1666</v>
      </c>
      <c r="D4" s="3677"/>
      <c r="E4" s="3678" t="s">
        <v>1667</v>
      </c>
      <c r="F4" s="3679"/>
      <c r="G4" s="3676" t="s">
        <v>1668</v>
      </c>
      <c r="H4" s="3677"/>
      <c r="I4" s="3676" t="s">
        <v>1669</v>
      </c>
      <c r="J4" s="3677"/>
      <c r="K4" s="1889" t="s">
        <v>1670</v>
      </c>
      <c r="L4" s="2712"/>
      <c r="M4" s="2713"/>
      <c r="N4" s="2713"/>
      <c r="O4" s="2713"/>
      <c r="P4" s="3680" t="s">
        <v>1671</v>
      </c>
      <c r="Q4" s="3681"/>
      <c r="R4" s="3663" t="s">
        <v>1667</v>
      </c>
      <c r="S4" s="3664"/>
      <c r="T4" s="3663" t="s">
        <v>1668</v>
      </c>
      <c r="U4" s="3664"/>
      <c r="V4" s="3688" t="s">
        <v>1669</v>
      </c>
      <c r="W4" s="3688"/>
      <c r="X4" s="1355"/>
      <c r="Y4" s="3663" t="s">
        <v>1671</v>
      </c>
      <c r="Z4" s="3664"/>
      <c r="AA4" s="3658" t="s">
        <v>1667</v>
      </c>
      <c r="AB4" s="3658" t="s">
        <v>1668</v>
      </c>
      <c r="AC4" s="3658" t="s">
        <v>1669</v>
      </c>
    </row>
    <row r="5" spans="1:29" ht="15">
      <c r="A5" s="358"/>
      <c r="B5" s="359"/>
      <c r="C5" s="3669" t="s">
        <v>1672</v>
      </c>
      <c r="D5" s="3670"/>
      <c r="E5" s="3667" t="s">
        <v>1673</v>
      </c>
      <c r="F5" s="3668"/>
      <c r="G5" s="3669" t="s">
        <v>1674</v>
      </c>
      <c r="H5" s="3670"/>
      <c r="I5" s="3669" t="s">
        <v>1675</v>
      </c>
      <c r="J5" s="3670"/>
      <c r="K5" s="1890"/>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1676</v>
      </c>
      <c r="D6" s="3672"/>
      <c r="E6" s="3673" t="s">
        <v>1676</v>
      </c>
      <c r="F6" s="3674"/>
      <c r="G6" s="3671" t="s">
        <v>1676</v>
      </c>
      <c r="H6" s="3672"/>
      <c r="I6" s="3671" t="s">
        <v>1676</v>
      </c>
      <c r="J6" s="3672"/>
      <c r="K6" s="1890" t="s">
        <v>1677</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1678</v>
      </c>
      <c r="B7" s="363"/>
      <c r="C7" s="364">
        <f>'数据-取费表'!B2</f>
        <v>45410</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1" t="s">
        <v>1679</v>
      </c>
      <c r="Q7" s="3689"/>
      <c r="R7" s="701" t="s">
        <v>20</v>
      </c>
      <c r="S7" s="702">
        <f t="shared" ref="S7:S15" si="0">F7</f>
        <v>0</v>
      </c>
      <c r="T7" s="701" t="s">
        <v>20</v>
      </c>
      <c r="U7" s="702">
        <f t="shared" ref="U7:U15" si="1">H7</f>
        <v>0</v>
      </c>
      <c r="V7" s="701" t="s">
        <v>20</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1" t="s">
        <v>1682</v>
      </c>
      <c r="Q8" s="3662"/>
      <c r="R8" s="701" t="s">
        <v>20</v>
      </c>
      <c r="S8" s="702">
        <f t="shared" si="0"/>
        <v>100</v>
      </c>
      <c r="T8" s="701" t="s">
        <v>20</v>
      </c>
      <c r="U8" s="702">
        <f t="shared" si="1"/>
        <v>100</v>
      </c>
      <c r="V8" s="701" t="s">
        <v>20</v>
      </c>
      <c r="W8" s="702">
        <f t="shared" si="2"/>
        <v>100</v>
      </c>
      <c r="X8" s="703"/>
      <c r="Y8" s="3661" t="s">
        <v>1682</v>
      </c>
      <c r="Z8" s="366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5"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5"/>
      <c r="Q11" s="1343" t="str">
        <f t="shared" si="6"/>
        <v>容积率</v>
      </c>
      <c r="R11" s="701" t="s">
        <v>18</v>
      </c>
      <c r="S11" s="702" t="e">
        <f t="shared" si="0"/>
        <v>#N/A</v>
      </c>
      <c r="T11" s="701" t="s">
        <v>18</v>
      </c>
      <c r="U11" s="702" t="e">
        <f t="shared" si="1"/>
        <v>#N/A</v>
      </c>
      <c r="V11" s="701" t="s">
        <v>18</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5"/>
      <c r="Q12" s="1343">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5"/>
      <c r="Q13" s="1343">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5"/>
      <c r="Q14" s="1343">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85.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2" t="s">
        <v>1690</v>
      </c>
      <c r="Q15" s="1352" t="str">
        <f t="shared" si="6"/>
        <v>居住社区成熟度</v>
      </c>
      <c r="R15" s="705" t="s">
        <v>18</v>
      </c>
      <c r="S15" s="706">
        <f t="shared" si="0"/>
        <v>100</v>
      </c>
      <c r="T15" s="705" t="s">
        <v>18</v>
      </c>
      <c r="U15" s="706">
        <f t="shared" si="1"/>
        <v>100</v>
      </c>
      <c r="V15" s="705" t="s">
        <v>18</v>
      </c>
      <c r="W15" s="706">
        <f t="shared" si="2"/>
        <v>100</v>
      </c>
      <c r="X15" s="1355"/>
      <c r="Y15" s="369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3"/>
      <c r="Q16" s="1352"/>
      <c r="R16" s="705"/>
      <c r="S16" s="706"/>
      <c r="T16" s="705"/>
      <c r="U16" s="706"/>
      <c r="V16" s="705"/>
      <c r="W16" s="706"/>
      <c r="X16" s="1355"/>
      <c r="Y16" s="3696"/>
      <c r="Z16" s="1356"/>
      <c r="AA16" s="1353">
        <v>1</v>
      </c>
      <c r="AB16" s="1353">
        <v>1</v>
      </c>
      <c r="AC16" s="1353">
        <v>1</v>
      </c>
    </row>
    <row r="17" spans="1:29" ht="71.2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3"/>
      <c r="Q18" s="1352"/>
      <c r="R18" s="705"/>
      <c r="S18" s="706"/>
      <c r="T18" s="705"/>
      <c r="U18" s="706"/>
      <c r="V18" s="705"/>
      <c r="W18" s="706"/>
      <c r="X18" s="1355"/>
      <c r="Y18" s="3696"/>
      <c r="Z18" s="1356"/>
      <c r="AA18" s="1353">
        <v>1</v>
      </c>
      <c r="AB18" s="1353">
        <v>1</v>
      </c>
      <c r="AC18" s="1353">
        <v>1</v>
      </c>
    </row>
    <row r="19" spans="1:29" ht="42.7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3"/>
      <c r="Q20" s="1352"/>
      <c r="R20" s="705"/>
      <c r="S20" s="706"/>
      <c r="T20" s="705"/>
      <c r="U20" s="706"/>
      <c r="V20" s="705"/>
      <c r="W20" s="706"/>
      <c r="X20" s="1355"/>
      <c r="Y20" s="3696"/>
      <c r="Z20" s="1356"/>
      <c r="AA20" s="1353">
        <v>1</v>
      </c>
      <c r="AB20" s="1353">
        <v>1</v>
      </c>
      <c r="AC20" s="1353">
        <v>1</v>
      </c>
    </row>
    <row r="21" spans="1:29" ht="28.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3"/>
      <c r="Q22" s="1352"/>
      <c r="R22" s="705"/>
      <c r="S22" s="706"/>
      <c r="T22" s="705"/>
      <c r="U22" s="706"/>
      <c r="V22" s="705"/>
      <c r="W22" s="706"/>
      <c r="X22" s="1355"/>
      <c r="Y22" s="3696"/>
      <c r="Z22" s="1356"/>
      <c r="AA22" s="1353">
        <v>1</v>
      </c>
      <c r="AB22" s="1353">
        <v>1</v>
      </c>
      <c r="AC22" s="1353">
        <v>1</v>
      </c>
    </row>
    <row r="23" spans="1:29" ht="42.7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7" t="s">
        <v>1695</v>
      </c>
      <c r="Q32" s="1352" t="str">
        <f t="shared" si="11"/>
        <v>建筑类型</v>
      </c>
      <c r="R32" s="705" t="s">
        <v>18</v>
      </c>
      <c r="S32" s="706">
        <f t="shared" si="12"/>
        <v>100</v>
      </c>
      <c r="T32" s="705" t="s">
        <v>18</v>
      </c>
      <c r="U32" s="706">
        <f t="shared" si="13"/>
        <v>100</v>
      </c>
      <c r="V32" s="705" t="s">
        <v>18</v>
      </c>
      <c r="W32" s="706">
        <f t="shared" si="14"/>
        <v>100</v>
      </c>
      <c r="X32" s="1355"/>
      <c r="Y32" s="370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8" t="s">
        <v>1695</v>
      </c>
      <c r="Q38" s="1352" t="str">
        <f t="shared" si="11"/>
        <v>物业管理</v>
      </c>
      <c r="R38" s="705" t="s">
        <v>18</v>
      </c>
      <c r="S38" s="706">
        <f t="shared" si="12"/>
        <v>100</v>
      </c>
      <c r="T38" s="705" t="s">
        <v>18</v>
      </c>
      <c r="U38" s="706">
        <f t="shared" si="13"/>
        <v>100</v>
      </c>
      <c r="V38" s="705" t="s">
        <v>18</v>
      </c>
      <c r="W38" s="706">
        <f t="shared" si="14"/>
        <v>100</v>
      </c>
      <c r="X38" s="1355"/>
      <c r="Y38" s="370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21318.1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676" t="s">
        <v>1769</v>
      </c>
      <c r="D4" s="3677"/>
      <c r="E4" s="3678" t="s">
        <v>1770</v>
      </c>
      <c r="F4" s="3679"/>
      <c r="G4" s="3676" t="s">
        <v>1771</v>
      </c>
      <c r="H4" s="3677"/>
      <c r="I4" s="3676" t="s">
        <v>1772</v>
      </c>
      <c r="J4" s="3677"/>
      <c r="K4" s="559" t="s">
        <v>1773</v>
      </c>
      <c r="L4" s="2712"/>
      <c r="M4" s="2713"/>
      <c r="N4" s="2713"/>
      <c r="O4" s="2713"/>
      <c r="P4" s="3680" t="s">
        <v>1774</v>
      </c>
      <c r="Q4" s="3681"/>
      <c r="R4" s="3663" t="s">
        <v>1770</v>
      </c>
      <c r="S4" s="3664"/>
      <c r="T4" s="3663" t="s">
        <v>1771</v>
      </c>
      <c r="U4" s="3664"/>
      <c r="V4" s="3688" t="s">
        <v>1772</v>
      </c>
      <c r="W4" s="3688"/>
      <c r="X4" s="1355"/>
      <c r="Y4" s="3663" t="s">
        <v>1774</v>
      </c>
      <c r="Z4" s="3664"/>
      <c r="AA4" s="3658" t="s">
        <v>1770</v>
      </c>
      <c r="AB4" s="3688" t="s">
        <v>1771</v>
      </c>
      <c r="AC4" s="3658" t="s">
        <v>1772</v>
      </c>
    </row>
    <row r="5" spans="1:29" ht="15">
      <c r="A5" s="358"/>
      <c r="B5" s="359"/>
      <c r="C5" s="3669" t="s">
        <v>1672</v>
      </c>
      <c r="D5" s="3670"/>
      <c r="E5" s="3667" t="s">
        <v>1673</v>
      </c>
      <c r="F5" s="3668"/>
      <c r="G5" s="3669" t="s">
        <v>1674</v>
      </c>
      <c r="H5" s="3670"/>
      <c r="I5" s="3669" t="s">
        <v>1675</v>
      </c>
      <c r="J5" s="3670"/>
      <c r="K5" s="559"/>
      <c r="L5" s="2712"/>
      <c r="M5" s="2713"/>
      <c r="N5" s="2713"/>
      <c r="O5" s="2713"/>
      <c r="P5" s="3682"/>
      <c r="Q5" s="3683"/>
      <c r="R5" s="3665"/>
      <c r="S5" s="3666"/>
      <c r="T5" s="3665"/>
      <c r="U5" s="3666"/>
      <c r="V5" s="3688"/>
      <c r="W5" s="3688"/>
      <c r="X5" s="1355"/>
      <c r="Y5" s="3665"/>
      <c r="Z5" s="3666"/>
      <c r="AA5" s="3659"/>
      <c r="AB5" s="3688"/>
      <c r="AC5" s="3659"/>
    </row>
    <row r="6" spans="1:29" ht="15.75" thickBot="1">
      <c r="A6" s="360"/>
      <c r="B6" s="361"/>
      <c r="C6" s="3671" t="s">
        <v>1676</v>
      </c>
      <c r="D6" s="3672"/>
      <c r="E6" s="3673" t="s">
        <v>1676</v>
      </c>
      <c r="F6" s="3674"/>
      <c r="G6" s="3671" t="s">
        <v>1676</v>
      </c>
      <c r="H6" s="3672"/>
      <c r="I6" s="3671" t="s">
        <v>1676</v>
      </c>
      <c r="J6" s="3672"/>
      <c r="K6" s="559" t="s">
        <v>1677</v>
      </c>
      <c r="L6" s="2712"/>
      <c r="M6" s="2713"/>
      <c r="N6" s="2713"/>
      <c r="O6" s="2713"/>
      <c r="P6" s="3684"/>
      <c r="Q6" s="3685"/>
      <c r="R6" s="3665"/>
      <c r="S6" s="3666"/>
      <c r="T6" s="3686"/>
      <c r="U6" s="3687"/>
      <c r="V6" s="3688"/>
      <c r="W6" s="3688"/>
      <c r="X6" s="1355"/>
      <c r="Y6" s="3686"/>
      <c r="Z6" s="3687"/>
      <c r="AA6" s="3660"/>
      <c r="AB6" s="3688"/>
      <c r="AC6" s="3660"/>
    </row>
    <row r="7" spans="1:29" s="108" customFormat="1" ht="15.75" thickBot="1">
      <c r="A7" s="362" t="s">
        <v>1678</v>
      </c>
      <c r="B7" s="363"/>
      <c r="C7" s="364">
        <f>'数据-取费表'!B2</f>
        <v>45410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1" t="s">
        <v>1682</v>
      </c>
      <c r="Q8" s="3662"/>
      <c r="R8" s="701" t="s">
        <v>14</v>
      </c>
      <c r="S8" s="702">
        <f t="shared" si="0"/>
        <v>100</v>
      </c>
      <c r="T8" s="701" t="s">
        <v>14</v>
      </c>
      <c r="U8" s="702">
        <f t="shared" si="1"/>
        <v>100</v>
      </c>
      <c r="V8" s="701" t="s">
        <v>14</v>
      </c>
      <c r="W8" s="702">
        <f t="shared" si="2"/>
        <v>100</v>
      </c>
      <c r="X8" s="703"/>
      <c r="Y8" s="3661" t="s">
        <v>1682</v>
      </c>
      <c r="Z8" s="366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5"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5"/>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71.2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2" t="s">
        <v>1690</v>
      </c>
      <c r="Q15" s="1352" t="str">
        <f t="shared" si="6"/>
        <v>商业繁华度</v>
      </c>
      <c r="R15" s="705" t="s">
        <v>14</v>
      </c>
      <c r="S15" s="706">
        <f t="shared" si="0"/>
        <v>100</v>
      </c>
      <c r="T15" s="705" t="s">
        <v>14</v>
      </c>
      <c r="U15" s="706">
        <f t="shared" si="1"/>
        <v>100</v>
      </c>
      <c r="V15" s="705" t="s">
        <v>14</v>
      </c>
      <c r="W15" s="706">
        <f t="shared" si="2"/>
        <v>100</v>
      </c>
      <c r="X15" s="1355"/>
      <c r="Y15" s="369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353">
        <v>1</v>
      </c>
    </row>
    <row r="17" spans="1:29" ht="85.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353">
        <v>1</v>
      </c>
    </row>
    <row r="19" spans="1:29" ht="42.7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353">
        <v>1</v>
      </c>
    </row>
    <row r="21" spans="1:29" ht="28.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03"/>
      <c r="Q22" s="1352"/>
      <c r="R22" s="705"/>
      <c r="S22" s="706"/>
      <c r="T22" s="705"/>
      <c r="U22" s="706"/>
      <c r="V22" s="705"/>
      <c r="W22" s="706"/>
      <c r="X22" s="1355"/>
      <c r="Y22" s="3696"/>
      <c r="Z22" s="1356"/>
      <c r="AA22" s="1353">
        <v>1</v>
      </c>
      <c r="AB22" s="1353">
        <v>1</v>
      </c>
      <c r="AC22" s="1353">
        <v>1</v>
      </c>
    </row>
    <row r="23" spans="1:29" ht="57">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97" t="s">
        <v>1695</v>
      </c>
      <c r="Q32" s="1352" t="str">
        <f t="shared" si="11"/>
        <v>商业类型</v>
      </c>
      <c r="R32" s="705" t="s">
        <v>14</v>
      </c>
      <c r="S32" s="706">
        <f t="shared" si="12"/>
        <v>100</v>
      </c>
      <c r="T32" s="705" t="s">
        <v>14</v>
      </c>
      <c r="U32" s="706">
        <f t="shared" si="13"/>
        <v>100</v>
      </c>
      <c r="V32" s="705" t="s">
        <v>14</v>
      </c>
      <c r="W32" s="706">
        <f t="shared" si="14"/>
        <v>100</v>
      </c>
      <c r="X32" s="1355"/>
      <c r="Y32" s="370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8" t="s">
        <v>1695</v>
      </c>
      <c r="Q38" s="1352" t="str">
        <f t="shared" si="11"/>
        <v>业态</v>
      </c>
      <c r="R38" s="705" t="s">
        <v>14</v>
      </c>
      <c r="S38" s="706">
        <f t="shared" si="12"/>
        <v>100</v>
      </c>
      <c r="T38" s="705" t="s">
        <v>14</v>
      </c>
      <c r="U38" s="706">
        <f t="shared" si="13"/>
        <v>100</v>
      </c>
      <c r="V38" s="705" t="s">
        <v>14</v>
      </c>
      <c r="W38" s="706">
        <f t="shared" si="14"/>
        <v>100</v>
      </c>
      <c r="X38" s="1355"/>
      <c r="Y38" s="370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693" t="str">
        <f>A47</f>
        <v>成交单价（元/平方米）</v>
      </c>
      <c r="Q47" s="3693"/>
      <c r="R47" s="3688">
        <f>E47</f>
        <v>0</v>
      </c>
      <c r="S47" s="3688"/>
      <c r="T47" s="3688">
        <f>G47</f>
        <v>0</v>
      </c>
      <c r="U47" s="3688"/>
      <c r="V47" s="3688">
        <f>I47</f>
        <v>0</v>
      </c>
      <c r="W47" s="368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21318.1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76" t="s">
        <v>1769</v>
      </c>
      <c r="D4" s="3677"/>
      <c r="E4" s="3678" t="s">
        <v>1770</v>
      </c>
      <c r="F4" s="3679"/>
      <c r="G4" s="3676" t="s">
        <v>1771</v>
      </c>
      <c r="H4" s="3677"/>
      <c r="I4" s="3676" t="s">
        <v>1772</v>
      </c>
      <c r="J4" s="3677"/>
      <c r="K4" s="559" t="s">
        <v>1773</v>
      </c>
      <c r="L4" s="2712"/>
      <c r="M4" s="2713"/>
      <c r="N4" s="2713"/>
      <c r="O4" s="2713"/>
      <c r="P4" s="3710" t="s">
        <v>1774</v>
      </c>
      <c r="Q4" s="3711"/>
      <c r="R4" s="3705" t="s">
        <v>1770</v>
      </c>
      <c r="S4" s="3706"/>
      <c r="T4" s="3705" t="s">
        <v>1771</v>
      </c>
      <c r="U4" s="3706"/>
      <c r="V4" s="3714" t="s">
        <v>1772</v>
      </c>
      <c r="W4" s="3714"/>
      <c r="X4" s="1958"/>
      <c r="Y4" s="3705" t="s">
        <v>1774</v>
      </c>
      <c r="Z4" s="3706"/>
      <c r="AA4" s="3704" t="s">
        <v>1770</v>
      </c>
      <c r="AB4" s="3704" t="s">
        <v>1771</v>
      </c>
      <c r="AC4" s="3707" t="s">
        <v>1772</v>
      </c>
    </row>
    <row r="5" spans="1:29" ht="15">
      <c r="A5" s="358"/>
      <c r="B5" s="359"/>
      <c r="C5" s="3669" t="s">
        <v>1672</v>
      </c>
      <c r="D5" s="3670"/>
      <c r="E5" s="3667" t="s">
        <v>1673</v>
      </c>
      <c r="F5" s="3668"/>
      <c r="G5" s="3669" t="s">
        <v>1674</v>
      </c>
      <c r="H5" s="3670"/>
      <c r="I5" s="3669" t="s">
        <v>1675</v>
      </c>
      <c r="J5" s="3670"/>
      <c r="K5" s="559"/>
      <c r="L5" s="2712"/>
      <c r="M5" s="2713"/>
      <c r="N5" s="2713"/>
      <c r="O5" s="2713"/>
      <c r="P5" s="3712"/>
      <c r="Q5" s="3683"/>
      <c r="R5" s="3665"/>
      <c r="S5" s="3666"/>
      <c r="T5" s="3665"/>
      <c r="U5" s="3666"/>
      <c r="V5" s="3688"/>
      <c r="W5" s="3688"/>
      <c r="X5" s="1355"/>
      <c r="Y5" s="3665"/>
      <c r="Z5" s="3666"/>
      <c r="AA5" s="3659"/>
      <c r="AB5" s="3659"/>
      <c r="AC5" s="3708"/>
    </row>
    <row r="6" spans="1:29" ht="15.75" thickBot="1">
      <c r="A6" s="360"/>
      <c r="B6" s="361"/>
      <c r="C6" s="3671" t="s">
        <v>1676</v>
      </c>
      <c r="D6" s="3672"/>
      <c r="E6" s="3673" t="s">
        <v>1676</v>
      </c>
      <c r="F6" s="3674"/>
      <c r="G6" s="3671" t="s">
        <v>1676</v>
      </c>
      <c r="H6" s="3672"/>
      <c r="I6" s="3671" t="s">
        <v>1676</v>
      </c>
      <c r="J6" s="3672"/>
      <c r="K6" s="559" t="s">
        <v>1677</v>
      </c>
      <c r="L6" s="2712"/>
      <c r="M6" s="2713"/>
      <c r="N6" s="2713"/>
      <c r="O6" s="2713"/>
      <c r="P6" s="3713"/>
      <c r="Q6" s="3685"/>
      <c r="R6" s="3665"/>
      <c r="S6" s="3666"/>
      <c r="T6" s="3686"/>
      <c r="U6" s="3687"/>
      <c r="V6" s="3688"/>
      <c r="W6" s="3688"/>
      <c r="X6" s="1355"/>
      <c r="Y6" s="3686"/>
      <c r="Z6" s="3687"/>
      <c r="AA6" s="3660"/>
      <c r="AB6" s="3660"/>
      <c r="AC6" s="3709"/>
    </row>
    <row r="7" spans="1:29" s="108" customFormat="1" ht="15.75" thickBot="1">
      <c r="A7" s="362" t="s">
        <v>1678</v>
      </c>
      <c r="B7" s="363"/>
      <c r="C7" s="364">
        <f>'数据-取费表'!B2</f>
        <v>45410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5"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5" t="s">
        <v>1682</v>
      </c>
      <c r="Q8" s="3662"/>
      <c r="R8" s="701" t="s">
        <v>14</v>
      </c>
      <c r="S8" s="702">
        <f t="shared" si="0"/>
        <v>100</v>
      </c>
      <c r="T8" s="701" t="s">
        <v>14</v>
      </c>
      <c r="U8" s="702">
        <f t="shared" si="1"/>
        <v>100</v>
      </c>
      <c r="V8" s="701" t="s">
        <v>14</v>
      </c>
      <c r="W8" s="702">
        <f t="shared" si="2"/>
        <v>100</v>
      </c>
      <c r="X8" s="703"/>
      <c r="Y8" s="3661" t="s">
        <v>1682</v>
      </c>
      <c r="Z8" s="366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5"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5"/>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5"/>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5"/>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5"/>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5"/>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9">
        <f t="shared" si="5"/>
        <v>1</v>
      </c>
    </row>
    <row r="15" spans="1:29" ht="71.25">
      <c r="A15" s="391" t="s">
        <v>1689</v>
      </c>
      <c r="B15" s="577" t="s">
        <v>1810</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2" t="s">
        <v>1690</v>
      </c>
      <c r="Q15" s="1352" t="str">
        <f t="shared" si="6"/>
        <v>办公集聚程度</v>
      </c>
      <c r="R15" s="705" t="s">
        <v>14</v>
      </c>
      <c r="S15" s="706">
        <f t="shared" si="0"/>
        <v>100</v>
      </c>
      <c r="T15" s="705" t="s">
        <v>14</v>
      </c>
      <c r="U15" s="706">
        <f t="shared" si="1"/>
        <v>100</v>
      </c>
      <c r="V15" s="705" t="s">
        <v>14</v>
      </c>
      <c r="W15" s="706">
        <f t="shared" si="2"/>
        <v>100</v>
      </c>
      <c r="X15" s="1355"/>
      <c r="Y15" s="369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3"/>
      <c r="Q16" s="1352"/>
      <c r="R16" s="705"/>
      <c r="S16" s="706"/>
      <c r="T16" s="705"/>
      <c r="U16" s="706"/>
      <c r="V16" s="705"/>
      <c r="W16" s="706"/>
      <c r="X16" s="1355"/>
      <c r="Y16" s="3696"/>
      <c r="Z16" s="1356"/>
      <c r="AA16" s="1353">
        <v>1</v>
      </c>
      <c r="AB16" s="1353">
        <v>1</v>
      </c>
      <c r="AC16" s="1962">
        <v>1</v>
      </c>
    </row>
    <row r="17" spans="1:29" ht="71.2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3"/>
      <c r="Q18" s="1352"/>
      <c r="R18" s="705"/>
      <c r="S18" s="706"/>
      <c r="T18" s="705"/>
      <c r="U18" s="706"/>
      <c r="V18" s="705"/>
      <c r="W18" s="706"/>
      <c r="X18" s="1355"/>
      <c r="Y18" s="3696"/>
      <c r="Z18" s="1356"/>
      <c r="AA18" s="1353">
        <v>1</v>
      </c>
      <c r="AB18" s="1353">
        <v>1</v>
      </c>
      <c r="AC18" s="1962">
        <v>1</v>
      </c>
    </row>
    <row r="19" spans="1:29" ht="42.7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3"/>
      <c r="Q20" s="1352"/>
      <c r="R20" s="705"/>
      <c r="S20" s="706"/>
      <c r="T20" s="705"/>
      <c r="U20" s="706"/>
      <c r="V20" s="705"/>
      <c r="W20" s="706"/>
      <c r="X20" s="1355"/>
      <c r="Y20" s="3696"/>
      <c r="Z20" s="1356"/>
      <c r="AA20" s="1353">
        <v>1</v>
      </c>
      <c r="AB20" s="1353">
        <v>1</v>
      </c>
      <c r="AC20" s="1962">
        <v>1</v>
      </c>
    </row>
    <row r="21" spans="1:29" ht="28.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3"/>
      <c r="Q22" s="1352"/>
      <c r="R22" s="705"/>
      <c r="S22" s="706"/>
      <c r="T22" s="705"/>
      <c r="U22" s="706"/>
      <c r="V22" s="705"/>
      <c r="W22" s="706"/>
      <c r="X22" s="1355"/>
      <c r="Y22" s="3696"/>
      <c r="Z22" s="1356"/>
      <c r="AA22" s="1353">
        <v>1</v>
      </c>
      <c r="AB22" s="1353">
        <v>1</v>
      </c>
      <c r="AC22" s="1962">
        <v>1</v>
      </c>
    </row>
    <row r="23" spans="1:29" ht="42.7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3"/>
      <c r="Q24" s="1352"/>
      <c r="R24" s="705"/>
      <c r="S24" s="706"/>
      <c r="T24" s="705"/>
      <c r="U24" s="706"/>
      <c r="V24" s="705"/>
      <c r="W24" s="706"/>
      <c r="X24" s="1355"/>
      <c r="Y24" s="369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3"/>
      <c r="Q26" s="1352"/>
      <c r="R26" s="705"/>
      <c r="S26" s="706"/>
      <c r="T26" s="705"/>
      <c r="U26" s="706"/>
      <c r="V26" s="705"/>
      <c r="W26" s="706"/>
      <c r="X26" s="1355"/>
      <c r="Y26" s="369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7" t="s">
        <v>1695</v>
      </c>
      <c r="Q33" s="1352" t="str">
        <f t="shared" si="11"/>
        <v>建筑类型</v>
      </c>
      <c r="R33" s="705" t="s">
        <v>14</v>
      </c>
      <c r="S33" s="706">
        <f t="shared" si="12"/>
        <v>100</v>
      </c>
      <c r="T33" s="705" t="s">
        <v>14</v>
      </c>
      <c r="U33" s="706">
        <f t="shared" si="13"/>
        <v>100</v>
      </c>
      <c r="V33" s="705" t="s">
        <v>14</v>
      </c>
      <c r="W33" s="706">
        <f t="shared" si="14"/>
        <v>100</v>
      </c>
      <c r="X33" s="1355"/>
      <c r="Y33" s="370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8" t="s">
        <v>1695</v>
      </c>
      <c r="Q39" s="1352" t="str">
        <f t="shared" si="11"/>
        <v>物业管理</v>
      </c>
      <c r="R39" s="705" t="s">
        <v>14</v>
      </c>
      <c r="S39" s="706">
        <f t="shared" si="12"/>
        <v>100</v>
      </c>
      <c r="T39" s="705" t="s">
        <v>14</v>
      </c>
      <c r="U39" s="706">
        <f t="shared" si="13"/>
        <v>100</v>
      </c>
      <c r="V39" s="705" t="s">
        <v>14</v>
      </c>
      <c r="W39" s="706">
        <f t="shared" si="14"/>
        <v>100</v>
      </c>
      <c r="X39" s="1355"/>
      <c r="Y39" s="370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675"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受贵公司委托，我公司对北京市海淀区八里庄路62号院1号楼1层101等房地产抵押价值进行了预评估。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等房地产，为北京福溢丰园资产管理有限公司所有。根据《国有土地使用证》[]，估价对象（分摊）出让国有建设用地使用权面积为2347.3平方米，建筑面积为21318.1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等房地产,属北京福溢丰园资产管理有限公司开发建设的居住项目，该项目尚在开发建设中。根据《国有土地使用证》[]，估价对象（分摊）出让国有建设用地使用权面积为2347.3平方米，规划建筑面积为21318.1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八里庄路62号院1号楼1层101等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21318.1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913"/>
      <c r="M4" s="914"/>
      <c r="N4" s="914"/>
      <c r="O4" s="914"/>
      <c r="P4" s="3680" t="s">
        <v>1774</v>
      </c>
      <c r="Q4" s="3681"/>
      <c r="R4" s="3663" t="s">
        <v>1770</v>
      </c>
      <c r="S4" s="3664"/>
      <c r="T4" s="3663" t="s">
        <v>1771</v>
      </c>
      <c r="U4" s="3664"/>
      <c r="V4" s="3688" t="s">
        <v>1772</v>
      </c>
      <c r="W4" s="3688"/>
      <c r="X4" s="1355"/>
      <c r="Y4" s="3663" t="s">
        <v>1774</v>
      </c>
      <c r="Z4" s="3664"/>
      <c r="AA4" s="3658" t="s">
        <v>1770</v>
      </c>
      <c r="AB4" s="3659" t="s">
        <v>1771</v>
      </c>
      <c r="AC4" s="3658" t="s">
        <v>1772</v>
      </c>
    </row>
    <row r="5" spans="1:29" ht="15">
      <c r="A5" s="358"/>
      <c r="B5" s="359"/>
      <c r="C5" s="3669" t="s">
        <v>1672</v>
      </c>
      <c r="D5" s="3670"/>
      <c r="E5" s="3667" t="s">
        <v>1673</v>
      </c>
      <c r="F5" s="3668"/>
      <c r="G5" s="3669" t="s">
        <v>1674</v>
      </c>
      <c r="H5" s="3670"/>
      <c r="I5" s="3669" t="s">
        <v>1675</v>
      </c>
      <c r="J5" s="3670"/>
      <c r="K5" s="559"/>
      <c r="L5" s="913"/>
      <c r="M5" s="914"/>
      <c r="N5" s="914"/>
      <c r="O5" s="914"/>
      <c r="P5" s="3682"/>
      <c r="Q5" s="3683"/>
      <c r="R5" s="3665"/>
      <c r="S5" s="3666"/>
      <c r="T5" s="3665"/>
      <c r="U5" s="3666"/>
      <c r="V5" s="3688"/>
      <c r="W5" s="3688"/>
      <c r="X5" s="1355"/>
      <c r="Y5" s="3665"/>
      <c r="Z5" s="3666"/>
      <c r="AA5" s="3659"/>
      <c r="AB5" s="3659"/>
      <c r="AC5" s="3659"/>
    </row>
    <row r="6" spans="1:29" ht="15.75" thickBot="1">
      <c r="A6" s="360"/>
      <c r="B6" s="361"/>
      <c r="C6" s="3671" t="s">
        <v>1676</v>
      </c>
      <c r="D6" s="3672"/>
      <c r="E6" s="3673" t="s">
        <v>1676</v>
      </c>
      <c r="F6" s="3674"/>
      <c r="G6" s="3671" t="s">
        <v>1676</v>
      </c>
      <c r="H6" s="3672"/>
      <c r="I6" s="3671" t="s">
        <v>1676</v>
      </c>
      <c r="J6" s="3672"/>
      <c r="K6" s="559" t="s">
        <v>1677</v>
      </c>
      <c r="L6" s="913"/>
      <c r="M6" s="914"/>
      <c r="N6" s="914"/>
      <c r="O6" s="914"/>
      <c r="P6" s="3684"/>
      <c r="Q6" s="3685"/>
      <c r="R6" s="3665"/>
      <c r="S6" s="3666"/>
      <c r="T6" s="3686"/>
      <c r="U6" s="3687"/>
      <c r="V6" s="3688"/>
      <c r="W6" s="3688"/>
      <c r="X6" s="1355"/>
      <c r="Y6" s="3686"/>
      <c r="Z6" s="3687"/>
      <c r="AA6" s="3660"/>
      <c r="AB6" s="3660"/>
      <c r="AC6" s="3660"/>
    </row>
    <row r="7" spans="1:29" s="108" customFormat="1" ht="15.75" thickBot="1">
      <c r="A7" s="362" t="s">
        <v>1678</v>
      </c>
      <c r="B7" s="363"/>
      <c r="C7" s="364">
        <f>'数据-取费表'!B2</f>
        <v>45410</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1682</v>
      </c>
      <c r="Q8" s="3662"/>
      <c r="R8" s="701" t="s">
        <v>14</v>
      </c>
      <c r="S8" s="702">
        <f t="shared" si="0"/>
        <v>100</v>
      </c>
      <c r="T8" s="701" t="s">
        <v>14</v>
      </c>
      <c r="U8" s="702">
        <f t="shared" si="1"/>
        <v>100</v>
      </c>
      <c r="V8" s="701" t="s">
        <v>14</v>
      </c>
      <c r="W8" s="702">
        <f t="shared" si="2"/>
        <v>100</v>
      </c>
      <c r="X8" s="703"/>
      <c r="Y8" s="3661" t="s">
        <v>1682</v>
      </c>
      <c r="Z8" s="366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9" t="s">
        <v>1695</v>
      </c>
      <c r="Q29" s="1352" t="str">
        <f t="shared" si="11"/>
        <v>建筑类型</v>
      </c>
      <c r="R29" s="705" t="s">
        <v>14</v>
      </c>
      <c r="S29" s="706">
        <f t="shared" si="12"/>
        <v>100</v>
      </c>
      <c r="T29" s="705" t="s">
        <v>14</v>
      </c>
      <c r="U29" s="706">
        <f t="shared" si="13"/>
        <v>100</v>
      </c>
      <c r="V29" s="705" t="s">
        <v>14</v>
      </c>
      <c r="W29" s="706">
        <f t="shared" si="14"/>
        <v>100</v>
      </c>
      <c r="X29" s="1355"/>
      <c r="Y29" s="370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1695</v>
      </c>
      <c r="Q35" s="1352" t="str">
        <f t="shared" si="11"/>
        <v>市政基础设施</v>
      </c>
      <c r="R35" s="705" t="s">
        <v>14</v>
      </c>
      <c r="S35" s="706">
        <f t="shared" si="12"/>
        <v>100</v>
      </c>
      <c r="T35" s="705" t="s">
        <v>14</v>
      </c>
      <c r="U35" s="706">
        <f t="shared" si="13"/>
        <v>100</v>
      </c>
      <c r="V35" s="705" t="s">
        <v>14</v>
      </c>
      <c r="W35" s="706">
        <f t="shared" si="14"/>
        <v>100</v>
      </c>
      <c r="X35" s="1355"/>
      <c r="Y35" s="370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2"/>
      <c r="M4" s="2713"/>
      <c r="N4" s="2713"/>
      <c r="O4" s="2713"/>
      <c r="P4" s="3680" t="s">
        <v>1774</v>
      </c>
      <c r="Q4" s="3681"/>
      <c r="R4" s="3663" t="s">
        <v>1770</v>
      </c>
      <c r="S4" s="3664"/>
      <c r="T4" s="3663" t="s">
        <v>1771</v>
      </c>
      <c r="U4" s="3664"/>
      <c r="V4" s="3688" t="s">
        <v>1772</v>
      </c>
      <c r="W4" s="3688"/>
      <c r="X4" s="1355"/>
      <c r="Y4" s="3663" t="s">
        <v>1774</v>
      </c>
      <c r="Z4" s="3664"/>
      <c r="AA4" s="3658" t="s">
        <v>1770</v>
      </c>
      <c r="AB4" s="3659" t="s">
        <v>1771</v>
      </c>
      <c r="AC4" s="3658" t="s">
        <v>1772</v>
      </c>
    </row>
    <row r="5" spans="1:29" ht="15">
      <c r="A5" s="358"/>
      <c r="B5" s="359"/>
      <c r="C5" s="3669" t="s">
        <v>1672</v>
      </c>
      <c r="D5" s="3670"/>
      <c r="E5" s="3667" t="s">
        <v>1673</v>
      </c>
      <c r="F5" s="3668"/>
      <c r="G5" s="3669" t="s">
        <v>1674</v>
      </c>
      <c r="H5" s="3670"/>
      <c r="I5" s="3669" t="s">
        <v>1675</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1676</v>
      </c>
      <c r="D6" s="3672"/>
      <c r="E6" s="3673" t="s">
        <v>1676</v>
      </c>
      <c r="F6" s="3674"/>
      <c r="G6" s="3671" t="s">
        <v>1676</v>
      </c>
      <c r="H6" s="3672"/>
      <c r="I6" s="3671" t="s">
        <v>1676</v>
      </c>
      <c r="J6" s="3672"/>
      <c r="K6" s="559" t="s">
        <v>1677</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1678</v>
      </c>
      <c r="B7" s="363"/>
      <c r="C7" s="364">
        <f>'数据-取费表'!B2</f>
        <v>45410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1" t="s">
        <v>1679</v>
      </c>
      <c r="Q7" s="3689"/>
      <c r="R7" s="701" t="s">
        <v>14</v>
      </c>
      <c r="S7" s="702">
        <f t="shared" ref="S7:S14" si="0">F7</f>
        <v>0</v>
      </c>
      <c r="T7" s="701" t="s">
        <v>14</v>
      </c>
      <c r="U7" s="702">
        <f t="shared" ref="U7:U14" si="1">H7</f>
        <v>0</v>
      </c>
      <c r="V7" s="701" t="s">
        <v>14</v>
      </c>
      <c r="W7" s="702">
        <f t="shared" ref="W7:W14"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1" t="s">
        <v>1682</v>
      </c>
      <c r="Q8" s="3662"/>
      <c r="R8" s="701" t="s">
        <v>14</v>
      </c>
      <c r="S8" s="702">
        <f t="shared" si="0"/>
        <v>100</v>
      </c>
      <c r="T8" s="701" t="s">
        <v>14</v>
      </c>
      <c r="U8" s="702">
        <f t="shared" si="1"/>
        <v>100</v>
      </c>
      <c r="V8" s="701" t="s">
        <v>14</v>
      </c>
      <c r="W8" s="702">
        <f t="shared" si="2"/>
        <v>100</v>
      </c>
      <c r="X8" s="703"/>
      <c r="Y8" s="3661" t="s">
        <v>1682</v>
      </c>
      <c r="Z8" s="366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3" t="s">
        <v>1685</v>
      </c>
      <c r="Q9" s="1343" t="str">
        <f t="shared" ref="Q9:Q14" si="6">B9</f>
        <v>用途</v>
      </c>
      <c r="R9" s="701" t="s">
        <v>14</v>
      </c>
      <c r="S9" s="702">
        <f t="shared" si="0"/>
        <v>100</v>
      </c>
      <c r="T9" s="701" t="s">
        <v>14</v>
      </c>
      <c r="U9" s="702">
        <f t="shared" si="1"/>
        <v>100</v>
      </c>
      <c r="V9" s="701" t="s">
        <v>14</v>
      </c>
      <c r="W9" s="702">
        <f t="shared" si="2"/>
        <v>100</v>
      </c>
      <c r="X9" s="703"/>
      <c r="Y9" s="3605"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6"/>
      <c r="Q15" s="1352"/>
      <c r="R15" s="705"/>
      <c r="S15" s="706"/>
      <c r="T15" s="705"/>
      <c r="U15" s="706"/>
      <c r="V15" s="705"/>
      <c r="W15" s="706"/>
      <c r="X15" s="1355"/>
      <c r="Y15" s="3696"/>
      <c r="Z15" s="1356"/>
      <c r="AA15" s="1353">
        <v>1</v>
      </c>
      <c r="AB15" s="1353">
        <v>1</v>
      </c>
      <c r="AC15" s="1353">
        <v>1</v>
      </c>
    </row>
    <row r="16" spans="1:29" ht="42.7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6"/>
      <c r="Q17" s="1352"/>
      <c r="R17" s="705"/>
      <c r="S17" s="706"/>
      <c r="T17" s="705"/>
      <c r="U17" s="706"/>
      <c r="V17" s="705"/>
      <c r="W17" s="706"/>
      <c r="X17" s="1355"/>
      <c r="Y17" s="3696"/>
      <c r="Z17" s="1356"/>
      <c r="AA17" s="1353">
        <v>1</v>
      </c>
      <c r="AB17" s="1353">
        <v>1</v>
      </c>
      <c r="AC17" s="1353">
        <v>1</v>
      </c>
    </row>
    <row r="18" spans="1:29" ht="28.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6"/>
      <c r="Q19" s="1352"/>
      <c r="R19" s="705"/>
      <c r="S19" s="706"/>
      <c r="T19" s="705"/>
      <c r="U19" s="706"/>
      <c r="V19" s="705"/>
      <c r="W19" s="706"/>
      <c r="X19" s="1355"/>
      <c r="Y19" s="3696"/>
      <c r="Z19" s="1356"/>
      <c r="AA19" s="1353">
        <v>1</v>
      </c>
      <c r="AB19" s="1353">
        <v>1</v>
      </c>
      <c r="AC19" s="1353">
        <v>1</v>
      </c>
    </row>
    <row r="20" spans="1:29" ht="57">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6"/>
      <c r="Q21" s="1352"/>
      <c r="R21" s="705"/>
      <c r="S21" s="706"/>
      <c r="T21" s="705"/>
      <c r="U21" s="706"/>
      <c r="V21" s="705"/>
      <c r="W21" s="706"/>
      <c r="X21" s="1355"/>
      <c r="Y21" s="369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1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0" t="s">
        <v>1695</v>
      </c>
      <c r="Q32" s="1352" t="str">
        <f t="shared" si="11"/>
        <v>车位类型</v>
      </c>
      <c r="R32" s="705" t="s">
        <v>14</v>
      </c>
      <c r="S32" s="706">
        <f t="shared" si="12"/>
        <v>100</v>
      </c>
      <c r="T32" s="705" t="s">
        <v>14</v>
      </c>
      <c r="U32" s="706">
        <f t="shared" si="13"/>
        <v>100</v>
      </c>
      <c r="V32" s="705" t="s">
        <v>14</v>
      </c>
      <c r="W32" s="706">
        <f t="shared" si="14"/>
        <v>100</v>
      </c>
      <c r="X32" s="1355"/>
      <c r="Y32" s="370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1843</v>
      </c>
      <c r="B37" s="1973" t="s">
        <v>3351</v>
      </c>
      <c r="C37" s="1154" t="s">
        <v>0</v>
      </c>
      <c r="D37" s="1155"/>
      <c r="E37" s="1156"/>
      <c r="F37" s="1157"/>
      <c r="G37" s="1158"/>
      <c r="H37" s="1159"/>
      <c r="I37" s="1156"/>
      <c r="J37" s="1159"/>
      <c r="K37" s="568"/>
      <c r="L37" s="2721"/>
      <c r="M37" s="2722"/>
      <c r="N37" s="2713"/>
      <c r="O37" s="2722"/>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2"/>
      <c r="M4" s="2713"/>
      <c r="N4" s="2713"/>
      <c r="O4" s="2713"/>
      <c r="P4" s="3680" t="s">
        <v>1774</v>
      </c>
      <c r="Q4" s="3681"/>
      <c r="R4" s="3663" t="s">
        <v>1770</v>
      </c>
      <c r="S4" s="3664"/>
      <c r="T4" s="3663" t="s">
        <v>1771</v>
      </c>
      <c r="U4" s="3664"/>
      <c r="V4" s="3688" t="s">
        <v>1772</v>
      </c>
      <c r="W4" s="3688"/>
      <c r="X4" s="1355"/>
      <c r="Y4" s="3663" t="s">
        <v>1774</v>
      </c>
      <c r="Z4" s="3664"/>
      <c r="AA4" s="3658" t="s">
        <v>1770</v>
      </c>
      <c r="AB4" s="3659" t="s">
        <v>1771</v>
      </c>
      <c r="AC4" s="3658" t="s">
        <v>1772</v>
      </c>
    </row>
    <row r="5" spans="1:29" ht="15">
      <c r="A5" s="358"/>
      <c r="B5" s="359"/>
      <c r="C5" s="3669" t="s">
        <v>1672</v>
      </c>
      <c r="D5" s="3670"/>
      <c r="E5" s="3667" t="s">
        <v>1673</v>
      </c>
      <c r="F5" s="3668"/>
      <c r="G5" s="3669" t="s">
        <v>1674</v>
      </c>
      <c r="H5" s="3670"/>
      <c r="I5" s="3669" t="s">
        <v>1675</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671" t="s">
        <v>1676</v>
      </c>
      <c r="D6" s="3672"/>
      <c r="E6" s="3673" t="s">
        <v>1676</v>
      </c>
      <c r="F6" s="3674"/>
      <c r="G6" s="3671" t="s">
        <v>1676</v>
      </c>
      <c r="H6" s="3672"/>
      <c r="I6" s="3671" t="s">
        <v>1676</v>
      </c>
      <c r="J6" s="3672"/>
      <c r="K6" s="559" t="s">
        <v>1677</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1678</v>
      </c>
      <c r="B7" s="363"/>
      <c r="C7" s="364">
        <f>'数据-取费表'!B2</f>
        <v>45410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1" t="s">
        <v>1679</v>
      </c>
      <c r="Q7" s="3689"/>
      <c r="R7" s="701" t="s">
        <v>14</v>
      </c>
      <c r="S7" s="702">
        <f t="shared" ref="S7:S14" si="0">F7</f>
        <v>0</v>
      </c>
      <c r="T7" s="701" t="s">
        <v>14</v>
      </c>
      <c r="U7" s="702">
        <f t="shared" ref="U7:U14" si="1">H7</f>
        <v>0</v>
      </c>
      <c r="V7" s="701" t="s">
        <v>14</v>
      </c>
      <c r="W7" s="702">
        <f t="shared" ref="W7:W14"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1" t="s">
        <v>1682</v>
      </c>
      <c r="Q8" s="3662"/>
      <c r="R8" s="701" t="s">
        <v>14</v>
      </c>
      <c r="S8" s="702">
        <f t="shared" si="0"/>
        <v>100</v>
      </c>
      <c r="T8" s="701" t="s">
        <v>14</v>
      </c>
      <c r="U8" s="702">
        <f t="shared" si="1"/>
        <v>100</v>
      </c>
      <c r="V8" s="701" t="s">
        <v>14</v>
      </c>
      <c r="W8" s="702">
        <f t="shared" si="2"/>
        <v>100</v>
      </c>
      <c r="X8" s="703"/>
      <c r="Y8" s="3661" t="s">
        <v>1682</v>
      </c>
      <c r="Z8" s="366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3" t="s">
        <v>1685</v>
      </c>
      <c r="Q9" s="1343" t="str">
        <f t="shared" ref="Q9:Q14" si="6">B9</f>
        <v>用途</v>
      </c>
      <c r="R9" s="701" t="s">
        <v>14</v>
      </c>
      <c r="S9" s="702">
        <f t="shared" si="0"/>
        <v>100</v>
      </c>
      <c r="T9" s="701" t="s">
        <v>14</v>
      </c>
      <c r="U9" s="702">
        <f t="shared" si="1"/>
        <v>100</v>
      </c>
      <c r="V9" s="701" t="s">
        <v>14</v>
      </c>
      <c r="W9" s="702">
        <f t="shared" si="2"/>
        <v>100</v>
      </c>
      <c r="X9" s="703"/>
      <c r="Y9" s="3605"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3"/>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3"/>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6"/>
      <c r="Q15" s="1352"/>
      <c r="R15" s="705"/>
      <c r="S15" s="706"/>
      <c r="T15" s="705"/>
      <c r="U15" s="706"/>
      <c r="V15" s="705"/>
      <c r="W15" s="706"/>
      <c r="X15" s="1355"/>
      <c r="Y15" s="3696"/>
      <c r="Z15" s="1356"/>
      <c r="AA15" s="1353">
        <v>1</v>
      </c>
      <c r="AB15" s="1353">
        <v>1</v>
      </c>
      <c r="AC15" s="1353">
        <v>1</v>
      </c>
    </row>
    <row r="16" spans="1:29" ht="42.7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6"/>
      <c r="Q17" s="1352"/>
      <c r="R17" s="705"/>
      <c r="S17" s="706"/>
      <c r="T17" s="705"/>
      <c r="U17" s="706"/>
      <c r="V17" s="705"/>
      <c r="W17" s="706"/>
      <c r="X17" s="1355"/>
      <c r="Y17" s="3696"/>
      <c r="Z17" s="1356"/>
      <c r="AA17" s="1353">
        <v>1</v>
      </c>
      <c r="AB17" s="1353">
        <v>1</v>
      </c>
      <c r="AC17" s="1353">
        <v>1</v>
      </c>
    </row>
    <row r="18" spans="1:29" ht="28.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6"/>
      <c r="Q19" s="1352"/>
      <c r="R19" s="705"/>
      <c r="S19" s="706"/>
      <c r="T19" s="705"/>
      <c r="U19" s="706"/>
      <c r="V19" s="705"/>
      <c r="W19" s="706"/>
      <c r="X19" s="1355"/>
      <c r="Y19" s="3696"/>
      <c r="Z19" s="1356"/>
      <c r="AA19" s="1353">
        <v>1</v>
      </c>
      <c r="AB19" s="1353">
        <v>1</v>
      </c>
      <c r="AC19" s="1353">
        <v>1</v>
      </c>
    </row>
    <row r="20" spans="1:29" ht="57">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6"/>
      <c r="Q21" s="1352"/>
      <c r="R21" s="705"/>
      <c r="S21" s="706"/>
      <c r="T21" s="705"/>
      <c r="U21" s="706"/>
      <c r="V21" s="705"/>
      <c r="W21" s="706"/>
      <c r="X21" s="1355"/>
      <c r="Y21" s="369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1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0" t="s">
        <v>1695</v>
      </c>
      <c r="Q32" s="1352">
        <f t="shared" si="11"/>
        <v>111</v>
      </c>
      <c r="R32" s="705" t="s">
        <v>14</v>
      </c>
      <c r="S32" s="706">
        <f t="shared" si="12"/>
        <v>100</v>
      </c>
      <c r="T32" s="705" t="s">
        <v>14</v>
      </c>
      <c r="U32" s="706">
        <f t="shared" si="13"/>
        <v>100</v>
      </c>
      <c r="V32" s="705" t="s">
        <v>14</v>
      </c>
      <c r="W32" s="706">
        <f t="shared" si="14"/>
        <v>100</v>
      </c>
      <c r="X32" s="1355"/>
      <c r="Y32" s="370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80" zoomScaleNormal="60" zoomScaleSheetLayoutView="80" workbookViewId="0">
      <selection activeCell="E7" sqref="E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9413</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4415</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76" t="s">
        <v>1769</v>
      </c>
      <c r="D4" s="3677"/>
      <c r="E4" s="3678" t="s">
        <v>1770</v>
      </c>
      <c r="F4" s="3679"/>
      <c r="G4" s="3676" t="s">
        <v>1771</v>
      </c>
      <c r="H4" s="3677"/>
      <c r="I4" s="3676" t="s">
        <v>1772</v>
      </c>
      <c r="J4" s="3677"/>
      <c r="K4" s="559" t="s">
        <v>1773</v>
      </c>
      <c r="L4" s="2712"/>
      <c r="M4" s="2713"/>
      <c r="N4" s="2713"/>
      <c r="O4" s="2713"/>
      <c r="P4" s="3680" t="s">
        <v>1774</v>
      </c>
      <c r="Q4" s="3681"/>
      <c r="R4" s="3663" t="s">
        <v>1770</v>
      </c>
      <c r="S4" s="3664"/>
      <c r="T4" s="3663" t="s">
        <v>1771</v>
      </c>
      <c r="U4" s="3664"/>
      <c r="V4" s="3688" t="s">
        <v>1772</v>
      </c>
      <c r="W4" s="3688"/>
      <c r="X4" s="1355"/>
      <c r="Y4" s="3663" t="s">
        <v>1774</v>
      </c>
      <c r="Z4" s="3664"/>
      <c r="AA4" s="3658" t="s">
        <v>1770</v>
      </c>
      <c r="AB4" s="3659" t="s">
        <v>1771</v>
      </c>
      <c r="AC4" s="3658" t="s">
        <v>1772</v>
      </c>
    </row>
    <row r="5" spans="1:30" ht="15">
      <c r="A5" s="358"/>
      <c r="B5" s="359"/>
      <c r="C5" s="3669" t="s">
        <v>1672</v>
      </c>
      <c r="D5" s="3670"/>
      <c r="E5" s="3667" t="s">
        <v>1673</v>
      </c>
      <c r="F5" s="3668"/>
      <c r="G5" s="3669" t="s">
        <v>1674</v>
      </c>
      <c r="H5" s="3670"/>
      <c r="I5" s="3669" t="s">
        <v>1675</v>
      </c>
      <c r="J5" s="3670"/>
      <c r="K5" s="559"/>
      <c r="L5" s="2712"/>
      <c r="M5" s="2713"/>
      <c r="N5" s="2713"/>
      <c r="O5" s="2713"/>
      <c r="P5" s="3682"/>
      <c r="Q5" s="3683"/>
      <c r="R5" s="3665"/>
      <c r="S5" s="3666"/>
      <c r="T5" s="3665"/>
      <c r="U5" s="3666"/>
      <c r="V5" s="3688"/>
      <c r="W5" s="3688"/>
      <c r="X5" s="1355"/>
      <c r="Y5" s="3665"/>
      <c r="Z5" s="3666"/>
      <c r="AA5" s="3659"/>
      <c r="AB5" s="3659"/>
      <c r="AC5" s="3659"/>
    </row>
    <row r="6" spans="1:30" ht="15.75" thickBot="1">
      <c r="A6" s="360"/>
      <c r="B6" s="361"/>
      <c r="C6" s="3671" t="s">
        <v>1676</v>
      </c>
      <c r="D6" s="3672"/>
      <c r="E6" s="3673" t="s">
        <v>1676</v>
      </c>
      <c r="F6" s="3674"/>
      <c r="G6" s="3671" t="s">
        <v>1676</v>
      </c>
      <c r="H6" s="3672"/>
      <c r="I6" s="3671" t="s">
        <v>1676</v>
      </c>
      <c r="J6" s="3672"/>
      <c r="K6" s="559" t="s">
        <v>1677</v>
      </c>
      <c r="L6" s="2712"/>
      <c r="M6" s="2713"/>
      <c r="N6" s="2713"/>
      <c r="O6" s="2713"/>
      <c r="P6" s="3684"/>
      <c r="Q6" s="3685"/>
      <c r="R6" s="3665"/>
      <c r="S6" s="3666"/>
      <c r="T6" s="3686"/>
      <c r="U6" s="3687"/>
      <c r="V6" s="3688"/>
      <c r="W6" s="3688"/>
      <c r="X6" s="1355"/>
      <c r="Y6" s="3686"/>
      <c r="Z6" s="3687"/>
      <c r="AA6" s="3660"/>
      <c r="AB6" s="3660"/>
      <c r="AC6" s="3660"/>
    </row>
    <row r="7" spans="1:30" s="108" customFormat="1" ht="15.75" thickBot="1">
      <c r="A7" s="362" t="s">
        <v>1678</v>
      </c>
      <c r="B7" s="363"/>
      <c r="C7" s="364">
        <f>'数据-取费表'!B2</f>
        <v>45410</v>
      </c>
      <c r="D7" s="365">
        <v>100</v>
      </c>
      <c r="E7" s="366">
        <f>C7</f>
        <v>45410</v>
      </c>
      <c r="F7" s="367">
        <f>SUMIF(69:69,YEAR(E7)&amp;"-"&amp;INT((MONTH(E7)+2)/3),70:70)</f>
        <v>100</v>
      </c>
      <c r="G7" s="366">
        <f>E7</f>
        <v>45410</v>
      </c>
      <c r="H7" s="365">
        <f>SUMIF(69:69,YEAR(G7)&amp;"-"&amp;INT((MONTH(G7)+2)/3),70:70)</f>
        <v>100</v>
      </c>
      <c r="I7" s="366">
        <f>G7</f>
        <v>45410</v>
      </c>
      <c r="J7" s="365">
        <f>SUMIF(69:69,YEAR(I7)&amp;"-"&amp;INT((MONTH(I7)+2)/3),70:70)</f>
        <v>100</v>
      </c>
      <c r="K7" s="560"/>
      <c r="L7" s="2714"/>
      <c r="M7" s="2715"/>
      <c r="N7" s="2715"/>
      <c r="O7" s="2715"/>
      <c r="P7" s="3661" t="s">
        <v>1679</v>
      </c>
      <c r="Q7" s="3689"/>
      <c r="R7" s="701" t="s">
        <v>14</v>
      </c>
      <c r="S7" s="702">
        <f t="shared" ref="S7:S15" si="0">F7</f>
        <v>100</v>
      </c>
      <c r="T7" s="701" t="s">
        <v>14</v>
      </c>
      <c r="U7" s="702">
        <f t="shared" ref="U7:U15" si="1">H7</f>
        <v>100</v>
      </c>
      <c r="V7" s="701" t="s">
        <v>14</v>
      </c>
      <c r="W7" s="702">
        <f t="shared" ref="W7:W15" si="2">J7</f>
        <v>100</v>
      </c>
      <c r="X7" s="703"/>
      <c r="Y7" s="3661" t="s">
        <v>1679</v>
      </c>
      <c r="Z7" s="3662"/>
      <c r="AA7" s="704">
        <f>D7/F7</f>
        <v>1</v>
      </c>
      <c r="AB7" s="704">
        <f>D7/H7</f>
        <v>1</v>
      </c>
      <c r="AC7" s="704">
        <f>D7/J7</f>
        <v>1</v>
      </c>
    </row>
    <row r="8" spans="1:30" s="108" customFormat="1" ht="15.75" thickBot="1">
      <c r="A8" s="362" t="s">
        <v>1680</v>
      </c>
      <c r="B8" s="363"/>
      <c r="C8" s="368" t="s">
        <v>1681</v>
      </c>
      <c r="D8" s="365">
        <v>100</v>
      </c>
      <c r="E8" s="368" t="s">
        <v>3421</v>
      </c>
      <c r="F8" s="367">
        <f>SUMIF(72:72,E8,73:73)-SUMIF(72:72,C8,73:73)+100</f>
        <v>100</v>
      </c>
      <c r="G8" s="368" t="s">
        <v>3421</v>
      </c>
      <c r="H8" s="365">
        <f>SUMIF(72:72,G8,73:73)-SUMIF(72:72,C8,73:73)+100</f>
        <v>100</v>
      </c>
      <c r="I8" s="368" t="s">
        <v>3421</v>
      </c>
      <c r="J8" s="365">
        <f>SUMIF(72:72,I8,73:73)-SUMIF(72:72,C8,73:73)+100</f>
        <v>100</v>
      </c>
      <c r="K8" s="560"/>
      <c r="L8" s="2714"/>
      <c r="M8" s="2715"/>
      <c r="N8" s="2715"/>
      <c r="O8" s="2715"/>
      <c r="P8" s="3661" t="s">
        <v>1682</v>
      </c>
      <c r="Q8" s="3662"/>
      <c r="R8" s="701" t="s">
        <v>14</v>
      </c>
      <c r="S8" s="702">
        <f t="shared" si="0"/>
        <v>100</v>
      </c>
      <c r="T8" s="701" t="s">
        <v>14</v>
      </c>
      <c r="U8" s="702">
        <f t="shared" si="1"/>
        <v>100</v>
      </c>
      <c r="V8" s="701" t="s">
        <v>14</v>
      </c>
      <c r="W8" s="702">
        <f t="shared" si="2"/>
        <v>100</v>
      </c>
      <c r="X8" s="703"/>
      <c r="Y8" s="3661" t="s">
        <v>1682</v>
      </c>
      <c r="Z8" s="3662"/>
      <c r="AA8" s="704">
        <f t="shared" ref="AA8:AA45" si="3">D8/F8</f>
        <v>1</v>
      </c>
      <c r="AB8" s="704">
        <f t="shared" ref="AB8:AB45" si="4">D8/H8</f>
        <v>1</v>
      </c>
      <c r="AC8" s="704">
        <f t="shared" ref="AC8:AC45" si="5">D8/J8</f>
        <v>1</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3"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133</v>
      </c>
      <c r="G10" s="414"/>
      <c r="H10" s="127">
        <f>ROUND(100/'数据-取费表'!G16,0)</f>
        <v>133</v>
      </c>
      <c r="I10" s="414"/>
      <c r="J10" s="127">
        <f>ROUND(100/'数据-取费表'!G16,0)</f>
        <v>133</v>
      </c>
      <c r="K10" s="620"/>
      <c r="L10" s="2716"/>
      <c r="M10" s="2717"/>
      <c r="N10" s="2717"/>
      <c r="O10" s="2770"/>
      <c r="P10" s="3693"/>
      <c r="Q10" s="1343" t="str">
        <f t="shared" si="6"/>
        <v>土地使用年限（年）</v>
      </c>
      <c r="R10" s="701" t="s">
        <v>14</v>
      </c>
      <c r="S10" s="702">
        <f t="shared" si="0"/>
        <v>133</v>
      </c>
      <c r="T10" s="701" t="s">
        <v>14</v>
      </c>
      <c r="U10" s="702">
        <f t="shared" si="1"/>
        <v>133</v>
      </c>
      <c r="V10" s="701" t="s">
        <v>14</v>
      </c>
      <c r="W10" s="702">
        <f t="shared" si="2"/>
        <v>133</v>
      </c>
      <c r="X10" s="703"/>
      <c r="Y10" s="3605"/>
      <c r="Z10" s="52" t="str">
        <f t="shared" si="7"/>
        <v>土地使用年限（年）</v>
      </c>
      <c r="AA10" s="704">
        <f t="shared" si="3"/>
        <v>0.75187969924812026</v>
      </c>
      <c r="AB10" s="704">
        <f t="shared" si="4"/>
        <v>0.75187969924812026</v>
      </c>
      <c r="AC10" s="704">
        <f t="shared" si="5"/>
        <v>0.75187969924812026</v>
      </c>
    </row>
    <row r="11" spans="1:30" ht="15">
      <c r="A11" s="379"/>
      <c r="B11" s="375" t="s">
        <v>1688</v>
      </c>
      <c r="C11" s="380"/>
      <c r="D11" s="127">
        <v>100</v>
      </c>
      <c r="E11" s="380"/>
      <c r="F11" s="127">
        <f>LOOKUP(E11,79:79,80:80)-LOOKUP(C11,79:79,80:80)+100</f>
        <v>100</v>
      </c>
      <c r="G11" s="381"/>
      <c r="H11" s="127">
        <f>LOOKUP(G11,79:79,80:80)-LOOKUP(C11,79:79,80:80)+100</f>
        <v>100</v>
      </c>
      <c r="I11" s="380"/>
      <c r="J11" s="127">
        <f>LOOKUP(I11,79:79,80:80)-LOOKUP(C11,79:79,80:80)+100</f>
        <v>100</v>
      </c>
      <c r="K11" s="621"/>
      <c r="L11" s="2718"/>
      <c r="M11" s="2713"/>
      <c r="N11" s="2713"/>
      <c r="O11" s="2771"/>
      <c r="P11" s="3693"/>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3"/>
      <c r="Q12" s="1343"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9.7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5" t="s">
        <v>1690</v>
      </c>
      <c r="Q15" s="1352" t="str">
        <f t="shared" si="6"/>
        <v>居住社区成熟度</v>
      </c>
      <c r="R15" s="705" t="s">
        <v>14</v>
      </c>
      <c r="S15" s="706">
        <f t="shared" si="0"/>
        <v>100</v>
      </c>
      <c r="T15" s="705" t="s">
        <v>14</v>
      </c>
      <c r="U15" s="706">
        <f t="shared" si="1"/>
        <v>100</v>
      </c>
      <c r="V15" s="705" t="s">
        <v>14</v>
      </c>
      <c r="W15" s="706">
        <f t="shared" si="2"/>
        <v>100</v>
      </c>
      <c r="X15" s="1355"/>
      <c r="Y15" s="369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71.2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71.2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6"/>
      <c r="Q20" s="1352"/>
      <c r="R20" s="705"/>
      <c r="S20" s="706"/>
      <c r="T20" s="705"/>
      <c r="U20" s="706"/>
      <c r="V20" s="705"/>
      <c r="W20" s="706"/>
      <c r="X20" s="1355"/>
      <c r="Y20" s="3696"/>
      <c r="Z20" s="1356"/>
      <c r="AA20" s="1353">
        <v>1</v>
      </c>
      <c r="AB20" s="1353">
        <v>1</v>
      </c>
      <c r="AC20" s="1353">
        <v>1</v>
      </c>
    </row>
    <row r="21" spans="1:29" ht="85.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6"/>
      <c r="Q24" s="1352"/>
      <c r="R24" s="705"/>
      <c r="S24" s="706"/>
      <c r="T24" s="705"/>
      <c r="U24" s="706"/>
      <c r="V24" s="705"/>
      <c r="W24" s="706"/>
      <c r="X24" s="1355"/>
      <c r="Y24" s="3696"/>
      <c r="Z24" s="1356"/>
      <c r="AA24" s="1353"/>
      <c r="AB24" s="1353"/>
      <c r="AC24" s="1353"/>
    </row>
    <row r="25" spans="1:29" ht="5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6"/>
      <c r="Q26" s="1352"/>
      <c r="R26" s="705"/>
      <c r="S26" s="706"/>
      <c r="T26" s="705"/>
      <c r="U26" s="706"/>
      <c r="V26" s="705"/>
      <c r="W26" s="706"/>
      <c r="X26" s="1355"/>
      <c r="Y26" s="3696"/>
      <c r="Z26" s="1356"/>
      <c r="AA26" s="1353">
        <v>1</v>
      </c>
      <c r="AB26" s="1353">
        <v>1</v>
      </c>
      <c r="AC26" s="1353">
        <v>1</v>
      </c>
    </row>
    <row r="27" spans="1:29" s="108" customFormat="1" ht="42.7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6"/>
      <c r="Q28" s="1343"/>
      <c r="R28" s="701"/>
      <c r="S28" s="702"/>
      <c r="T28" s="701"/>
      <c r="U28" s="702"/>
      <c r="V28" s="701"/>
      <c r="W28" s="702"/>
      <c r="X28" s="703"/>
      <c r="Y28" s="3696"/>
      <c r="Z28" s="52"/>
      <c r="AA28" s="1353">
        <v>1</v>
      </c>
      <c r="AB28" s="1353">
        <v>1</v>
      </c>
      <c r="AC28" s="1353">
        <v>1</v>
      </c>
    </row>
    <row r="29" spans="1:29" s="108" customFormat="1" ht="28.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6"/>
      <c r="Q30" s="1343"/>
      <c r="R30" s="701"/>
      <c r="S30" s="702"/>
      <c r="T30" s="701"/>
      <c r="U30" s="702"/>
      <c r="V30" s="701"/>
      <c r="W30" s="702"/>
      <c r="X30" s="703"/>
      <c r="Y30" s="369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6"/>
      <c r="Q33" s="1352"/>
      <c r="R33" s="705"/>
      <c r="S33" s="706"/>
      <c r="T33" s="705"/>
      <c r="U33" s="706"/>
      <c r="V33" s="705"/>
      <c r="W33" s="706"/>
      <c r="X33" s="1355"/>
      <c r="Y33" s="369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19" t="s">
        <v>1695</v>
      </c>
      <c r="Q36" s="1352">
        <f t="shared" si="8"/>
        <v>111</v>
      </c>
      <c r="R36" s="705" t="s">
        <v>14</v>
      </c>
      <c r="S36" s="706">
        <f t="shared" si="10"/>
        <v>100</v>
      </c>
      <c r="T36" s="705" t="s">
        <v>14</v>
      </c>
      <c r="U36" s="706">
        <f t="shared" si="11"/>
        <v>100</v>
      </c>
      <c r="V36" s="705" t="s">
        <v>14</v>
      </c>
      <c r="W36" s="706">
        <f t="shared" si="12"/>
        <v>100</v>
      </c>
      <c r="X36" s="1355"/>
      <c r="Y36" s="370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1693</v>
      </c>
      <c r="B38" s="407" t="s">
        <v>1873</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9"/>
      <c r="M38" s="2713"/>
      <c r="N38" s="2713"/>
      <c r="O38" s="2771"/>
      <c r="P38" s="3700"/>
      <c r="Q38" s="1352" t="str">
        <f>B38</f>
        <v>宗地面积</v>
      </c>
      <c r="R38" s="705" t="s">
        <v>14</v>
      </c>
      <c r="S38" s="706">
        <f t="shared" si="10"/>
        <v>100</v>
      </c>
      <c r="T38" s="705" t="s">
        <v>14</v>
      </c>
      <c r="U38" s="706">
        <f t="shared" si="11"/>
        <v>100</v>
      </c>
      <c r="V38" s="705" t="s">
        <v>14</v>
      </c>
      <c r="W38" s="706">
        <f t="shared" si="12"/>
        <v>100</v>
      </c>
      <c r="X38" s="1355"/>
      <c r="Y38" s="3700"/>
      <c r="Z38" s="1356" t="str">
        <f t="shared" si="13"/>
        <v>宗地面积</v>
      </c>
      <c r="AA38" s="1353">
        <f t="shared" si="3"/>
        <v>1</v>
      </c>
      <c r="AB38" s="1353">
        <f t="shared" si="4"/>
        <v>1</v>
      </c>
      <c r="AC38" s="1353">
        <f t="shared" si="5"/>
        <v>1</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0" t="s">
        <v>1695</v>
      </c>
      <c r="Q42" s="1352" t="str">
        <f t="shared" si="14"/>
        <v>工程地质条件</v>
      </c>
      <c r="R42" s="705" t="s">
        <v>14</v>
      </c>
      <c r="S42" s="706">
        <f t="shared" si="10"/>
        <v>100</v>
      </c>
      <c r="T42" s="705" t="s">
        <v>14</v>
      </c>
      <c r="U42" s="706">
        <f t="shared" si="11"/>
        <v>100</v>
      </c>
      <c r="V42" s="705" t="s">
        <v>14</v>
      </c>
      <c r="W42" s="706">
        <f t="shared" si="12"/>
        <v>100</v>
      </c>
      <c r="X42" s="1355"/>
      <c r="Y42" s="370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1843</v>
      </c>
      <c r="B46" s="1982" t="s">
        <v>1878</v>
      </c>
      <c r="C46" s="630" t="s">
        <v>0</v>
      </c>
      <c r="D46" s="432"/>
      <c r="E46" s="433">
        <v>22000</v>
      </c>
      <c r="F46" s="434"/>
      <c r="G46" s="433">
        <v>22000</v>
      </c>
      <c r="H46" s="436"/>
      <c r="I46" s="433">
        <v>22000</v>
      </c>
      <c r="J46" s="436"/>
      <c r="K46" s="714"/>
      <c r="L46" s="2721"/>
      <c r="M46" s="2722"/>
      <c r="N46" s="2713"/>
      <c r="O46" s="2722"/>
      <c r="P46" s="3693" t="str">
        <f>A46</f>
        <v>成交单价</v>
      </c>
      <c r="Q46" s="3693"/>
      <c r="R46" s="3688">
        <f>E46</f>
        <v>22000</v>
      </c>
      <c r="S46" s="3688"/>
      <c r="T46" s="3688">
        <f>G46</f>
        <v>22000</v>
      </c>
      <c r="U46" s="3688"/>
      <c r="V46" s="3688">
        <f>I46</f>
        <v>22000</v>
      </c>
      <c r="W46" s="3688"/>
      <c r="X46" s="690"/>
      <c r="Y46" s="712"/>
      <c r="Z46" s="690"/>
      <c r="AA46" s="690"/>
      <c r="AB46" s="690"/>
      <c r="AC46" s="690"/>
    </row>
    <row r="47" spans="1:29" ht="15.75" thickBot="1">
      <c r="A47" s="437" t="s">
        <v>1792</v>
      </c>
      <c r="B47" s="631"/>
      <c r="C47" s="440">
        <f>R48</f>
        <v>16541</v>
      </c>
      <c r="D47" s="2317" t="s">
        <v>2137</v>
      </c>
      <c r="E47" s="440">
        <f>R47</f>
        <v>16541</v>
      </c>
      <c r="F47" s="2318"/>
      <c r="G47" s="439">
        <f>T47</f>
        <v>16541</v>
      </c>
      <c r="H47" s="2318"/>
      <c r="I47" s="440">
        <f>V47</f>
        <v>16541</v>
      </c>
      <c r="J47" s="2318"/>
      <c r="K47" s="2320">
        <f>F47+H47+J47</f>
        <v>0</v>
      </c>
      <c r="L47" s="2721"/>
      <c r="M47" s="2722"/>
      <c r="N47" s="2722"/>
      <c r="O47" s="2722"/>
      <c r="P47" s="3693" t="str">
        <f>A47</f>
        <v>比较价值（元/平方米）</v>
      </c>
      <c r="Q47" s="3693"/>
      <c r="R47" s="3721">
        <f>ROUND(PRODUCT(R46,AA7:AA45),0)</f>
        <v>16541</v>
      </c>
      <c r="S47" s="3721"/>
      <c r="T47" s="3721">
        <f>ROUND(PRODUCT(T46,AB7:AB45),0)</f>
        <v>16541</v>
      </c>
      <c r="U47" s="3721"/>
      <c r="V47" s="3721">
        <f>ROUND(PRODUCT(V46,AC7:AC45),0)</f>
        <v>16541</v>
      </c>
      <c r="W47" s="3721"/>
      <c r="X47" s="690"/>
      <c r="Y47" s="690"/>
      <c r="Z47" s="690"/>
      <c r="AA47" s="690"/>
      <c r="AB47" s="690"/>
      <c r="AC47" s="690"/>
    </row>
    <row r="48" spans="1:29" ht="15.75" thickBot="1">
      <c r="A48" s="441" t="s">
        <v>1879</v>
      </c>
      <c r="B48" s="442"/>
      <c r="C48" s="443">
        <f>R48</f>
        <v>16541</v>
      </c>
      <c r="D48" s="443"/>
      <c r="E48" s="443"/>
      <c r="F48" s="443"/>
      <c r="G48" s="443"/>
      <c r="H48" s="443"/>
      <c r="I48" s="443"/>
      <c r="J48" s="443"/>
      <c r="K48" s="715"/>
      <c r="L48" s="2721"/>
      <c r="M48" s="2722"/>
      <c r="N48" s="2722"/>
      <c r="O48" s="2722"/>
      <c r="P48" s="3690" t="str">
        <f>A48</f>
        <v>估价对象XX用房的比较价值（楼面单价，元/平方米）</v>
      </c>
      <c r="Q48" s="3691"/>
      <c r="R48" s="3722">
        <f>ROUND(IF(D47="简单平均",AVERAGE(R47:W47),R47*F47+T47*H47+V47*J47),0)</f>
        <v>16541</v>
      </c>
      <c r="S48" s="3722"/>
      <c r="T48" s="3722"/>
      <c r="U48" s="3722"/>
      <c r="V48" s="3722"/>
      <c r="W48" s="372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f>IF(E46&lt;E47,E47/E46-1,E46/E47-1)</f>
        <v>0.33002841424339513</v>
      </c>
      <c r="F51" s="449" t="str">
        <f>IF(OR(E51&gt;=0.3,E51&lt;=-0.3),"超过30%","")</f>
        <v>超过30%</v>
      </c>
      <c r="G51" s="448">
        <f>IF(G46&lt;G47,G47/G46-1,G46/G47-1)</f>
        <v>0.33002841424339513</v>
      </c>
      <c r="H51" s="449" t="str">
        <f>IF(OR(G51&gt;=0.3,G51&lt;=-0.3),"超过30%","")</f>
        <v>超过30%</v>
      </c>
      <c r="I51" s="448">
        <f>IF(I46&lt;I47,I47/I46-1,I46/I47-1)</f>
        <v>0.33002841424339513</v>
      </c>
      <c r="J51" s="449"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676" t="s">
        <v>1886</v>
      </c>
      <c r="H55" s="3723"/>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16541</v>
      </c>
      <c r="C56" s="638">
        <v>1</v>
      </c>
      <c r="D56" s="944">
        <v>1</v>
      </c>
      <c r="E56" s="638">
        <f>'数据-汇总表'!E8+'数据-汇总表'!E9</f>
        <v>2933.24</v>
      </c>
      <c r="F56" s="886">
        <f t="shared" ref="F56:F64" si="15">ROUND(B56*E56/10000,0)</f>
        <v>4852</v>
      </c>
      <c r="G56" s="3675"/>
      <c r="H56" s="369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f>ROUND($C$48*C57*D57,0)</f>
        <v>2481</v>
      </c>
      <c r="C57" s="171">
        <f t="shared" ref="C57:C64" si="16">IF($C$55="北京市系数",I57,J57)</f>
        <v>0.6</v>
      </c>
      <c r="D57" s="945">
        <v>0.25</v>
      </c>
      <c r="E57" s="642">
        <f>'数据-汇总表'!G31</f>
        <v>18384.86</v>
      </c>
      <c r="F57" s="886">
        <f t="shared" si="15"/>
        <v>4561</v>
      </c>
      <c r="G57" s="3003" t="s">
        <v>1891</v>
      </c>
      <c r="H57" s="887" t="str">
        <f>项目基本情况!B37</f>
        <v>四级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f t="shared" ref="B58:B64" si="17">ROUND($C$48*C58*D58,0)</f>
        <v>1241</v>
      </c>
      <c r="C58" s="171">
        <f t="shared" si="16"/>
        <v>0.3</v>
      </c>
      <c r="D58" s="945">
        <v>0.25</v>
      </c>
      <c r="E58" s="642"/>
      <c r="F58" s="886">
        <f t="shared" si="15"/>
        <v>0</v>
      </c>
      <c r="G58" s="3004"/>
      <c r="H58" s="887" t="str">
        <f>项目基本情况!B37</f>
        <v>四级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f t="shared" si="17"/>
        <v>1034</v>
      </c>
      <c r="C59" s="171">
        <f t="shared" si="16"/>
        <v>0.25</v>
      </c>
      <c r="D59" s="945">
        <v>0.25</v>
      </c>
      <c r="E59" s="642"/>
      <c r="F59" s="886">
        <f t="shared" si="15"/>
        <v>0</v>
      </c>
      <c r="G59" s="3004"/>
      <c r="H59" s="887" t="str">
        <f>项目基本情况!B37</f>
        <v>四级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f t="shared" si="17"/>
        <v>0</v>
      </c>
      <c r="C60" s="171">
        <f t="shared" si="16"/>
        <v>0</v>
      </c>
      <c r="D60" s="945">
        <v>0.25</v>
      </c>
      <c r="E60" s="217">
        <f>'数据-汇总表'!E11</f>
        <v>0</v>
      </c>
      <c r="F60" s="886">
        <f t="shared" si="15"/>
        <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f t="shared" si="17"/>
        <v>0</v>
      </c>
      <c r="C62" s="171">
        <f t="shared" si="16"/>
        <v>0</v>
      </c>
      <c r="D62" s="945">
        <v>0.25</v>
      </c>
      <c r="E62" s="217">
        <f>'数据-汇总表'!E13</f>
        <v>0</v>
      </c>
      <c r="F62" s="886">
        <f t="shared" si="15"/>
        <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f t="shared" si="17"/>
        <v>620</v>
      </c>
      <c r="C63" s="171">
        <f t="shared" si="16"/>
        <v>0.15</v>
      </c>
      <c r="D63" s="945">
        <v>0.25</v>
      </c>
      <c r="E63" s="217">
        <f>'数据-汇总表'!E14</f>
        <v>0</v>
      </c>
      <c r="F63" s="886">
        <f t="shared" si="15"/>
        <v>0</v>
      </c>
      <c r="G63" s="1987" t="s">
        <v>1891</v>
      </c>
      <c r="H63" s="887" t="str">
        <f>项目基本情况!B37</f>
        <v>四级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f t="shared" si="17"/>
        <v>0</v>
      </c>
      <c r="C64" s="171">
        <f t="shared" si="16"/>
        <v>0</v>
      </c>
      <c r="D64" s="945">
        <v>0.25</v>
      </c>
      <c r="E64" s="217">
        <f>'数据-汇总表'!E15</f>
        <v>0</v>
      </c>
      <c r="F64" s="886">
        <f t="shared" si="15"/>
        <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21318.1</v>
      </c>
      <c r="F65" s="645">
        <f>IF(B46="楼面地价",SUM(F56:F64),ROUND(C48*E65/10000,0))</f>
        <v>9413</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0（含）-1</v>
      </c>
      <c r="D78" s="496" t="str">
        <f t="shared" ref="D78:L78" si="20">D79&amp;"（含）"&amp;"-"&amp;E79</f>
        <v>1（含）-2</v>
      </c>
      <c r="E78" s="496" t="str">
        <f t="shared" si="20"/>
        <v>2（含）-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0(含)-100000</v>
      </c>
      <c r="D115" s="478" t="str">
        <f t="shared" ref="D115:M115" si="25">D116&amp;"(含)"&amp;"-"&amp;E116</f>
        <v>100000(含)-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100000</v>
      </c>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6"/>
  <sheetViews>
    <sheetView zoomScale="90" zoomScaleNormal="90" workbookViewId="0">
      <selection activeCell="AY37" sqref="AY37"/>
    </sheetView>
  </sheetViews>
  <sheetFormatPr defaultRowHeight="14.25"/>
  <cols>
    <col min="1" max="1" width="20" style="3790" customWidth="1"/>
    <col min="2" max="4" width="20" style="3790" hidden="1" customWidth="1"/>
    <col min="5" max="5" width="9" style="3790" customWidth="1"/>
    <col min="6" max="6" width="8.625" style="3790" customWidth="1"/>
    <col min="7" max="7" width="20" style="3790" hidden="1" customWidth="1"/>
    <col min="8" max="8" width="17.125" style="3790" customWidth="1"/>
    <col min="9" max="9" width="10.5" style="3790" customWidth="1"/>
    <col min="10" max="11" width="11" style="3790" customWidth="1"/>
    <col min="12" max="13" width="20" style="3790" hidden="1" customWidth="1"/>
    <col min="14" max="15" width="20" style="3790" customWidth="1"/>
    <col min="16" max="30" width="20" style="3790" hidden="1" customWidth="1"/>
    <col min="31" max="31" width="10.75" style="3790" customWidth="1"/>
    <col min="32" max="33" width="20" style="3790" hidden="1" customWidth="1"/>
    <col min="34" max="34" width="20" style="3790" customWidth="1"/>
    <col min="35" max="40" width="20" style="3790" hidden="1" customWidth="1"/>
    <col min="41" max="41" width="10" style="3790" customWidth="1"/>
    <col min="42" max="42" width="20" style="3790" hidden="1" customWidth="1"/>
    <col min="43" max="43" width="11.5" style="3790" hidden="1" customWidth="1"/>
    <col min="44" max="46" width="20" style="3790" hidden="1" customWidth="1"/>
    <col min="47" max="47" width="9.875" style="3790" customWidth="1"/>
    <col min="48" max="50" width="20" style="3790" hidden="1" customWidth="1"/>
    <col min="51" max="51" width="20" style="3790" customWidth="1"/>
    <col min="52" max="61" width="20" style="3790" hidden="1" customWidth="1"/>
    <col min="62" max="62" width="20" style="3790" customWidth="1"/>
    <col min="63" max="16384" width="9" style="3790"/>
  </cols>
  <sheetData>
    <row r="1" spans="1:61">
      <c r="A1" s="3790" t="s">
        <v>3423</v>
      </c>
      <c r="B1" s="3790" t="s">
        <v>3424</v>
      </c>
      <c r="C1" s="3790" t="s">
        <v>3425</v>
      </c>
      <c r="D1" s="3790" t="s">
        <v>3426</v>
      </c>
      <c r="E1" s="3790" t="s">
        <v>3427</v>
      </c>
      <c r="F1" s="3790" t="s">
        <v>3428</v>
      </c>
      <c r="G1" s="3790" t="s">
        <v>3429</v>
      </c>
      <c r="H1" s="3790" t="s">
        <v>3430</v>
      </c>
      <c r="I1" s="3790" t="s">
        <v>3431</v>
      </c>
      <c r="J1" s="3790" t="s">
        <v>3432</v>
      </c>
      <c r="K1" s="3790" t="s">
        <v>3433</v>
      </c>
      <c r="L1" s="3790" t="s">
        <v>3434</v>
      </c>
      <c r="M1" s="3790" t="s">
        <v>3435</v>
      </c>
      <c r="N1" s="3790" t="s">
        <v>3436</v>
      </c>
      <c r="O1" s="3790" t="s">
        <v>3437</v>
      </c>
      <c r="P1" s="3790" t="s">
        <v>3438</v>
      </c>
      <c r="Q1" s="3790" t="s">
        <v>3439</v>
      </c>
      <c r="R1" s="3790" t="s">
        <v>3440</v>
      </c>
      <c r="S1" s="3790" t="s">
        <v>3441</v>
      </c>
      <c r="T1" s="3790" t="s">
        <v>3442</v>
      </c>
      <c r="U1" s="3790" t="s">
        <v>3443</v>
      </c>
      <c r="V1" s="3790" t="s">
        <v>3444</v>
      </c>
      <c r="W1" s="3790" t="s">
        <v>3445</v>
      </c>
      <c r="X1" s="3790" t="s">
        <v>3446</v>
      </c>
      <c r="Y1" s="3790" t="s">
        <v>3447</v>
      </c>
      <c r="Z1" s="3790" t="s">
        <v>3448</v>
      </c>
      <c r="AA1" s="3790" t="s">
        <v>3449</v>
      </c>
      <c r="AB1" s="3790" t="s">
        <v>3450</v>
      </c>
      <c r="AC1" s="3790" t="s">
        <v>3451</v>
      </c>
      <c r="AD1" s="3790" t="s">
        <v>3452</v>
      </c>
      <c r="AE1" s="3790" t="s">
        <v>3453</v>
      </c>
      <c r="AF1" s="3790" t="s">
        <v>3454</v>
      </c>
      <c r="AG1" s="3790" t="s">
        <v>3455</v>
      </c>
      <c r="AH1" s="3790" t="s">
        <v>3456</v>
      </c>
      <c r="AI1" s="3790" t="s">
        <v>3457</v>
      </c>
      <c r="AJ1" s="3790" t="s">
        <v>3458</v>
      </c>
      <c r="AK1" s="3790" t="s">
        <v>3459</v>
      </c>
      <c r="AL1" s="3790" t="s">
        <v>3460</v>
      </c>
      <c r="AM1" s="3790" t="s">
        <v>3461</v>
      </c>
      <c r="AN1" s="3790" t="s">
        <v>3462</v>
      </c>
      <c r="AO1" s="3790" t="s">
        <v>3463</v>
      </c>
      <c r="AP1" s="3790" t="s">
        <v>3464</v>
      </c>
      <c r="AQ1" s="3790" t="s">
        <v>3465</v>
      </c>
      <c r="AR1" s="3790" t="s">
        <v>3466</v>
      </c>
      <c r="AS1" s="3790" t="s">
        <v>3467</v>
      </c>
      <c r="AT1" s="3790" t="s">
        <v>3468</v>
      </c>
      <c r="AU1" s="3790" t="s">
        <v>3469</v>
      </c>
      <c r="AV1" s="3790" t="s">
        <v>3470</v>
      </c>
      <c r="AW1" s="3790" t="s">
        <v>3471</v>
      </c>
      <c r="AX1" s="3790" t="s">
        <v>3472</v>
      </c>
      <c r="AY1" s="3790" t="s">
        <v>3473</v>
      </c>
      <c r="AZ1" s="3790" t="s">
        <v>3474</v>
      </c>
      <c r="BA1" s="3790" t="s">
        <v>3475</v>
      </c>
      <c r="BB1" s="3790" t="s">
        <v>3476</v>
      </c>
      <c r="BC1" s="3790" t="s">
        <v>3477</v>
      </c>
      <c r="BD1" s="3790" t="s">
        <v>3478</v>
      </c>
      <c r="BE1" s="3790" t="s">
        <v>3479</v>
      </c>
      <c r="BF1" s="3790" t="s">
        <v>3480</v>
      </c>
      <c r="BG1" s="3790" t="s">
        <v>3481</v>
      </c>
      <c r="BH1" s="3790" t="s">
        <v>3482</v>
      </c>
      <c r="BI1" s="3790" t="s">
        <v>3483</v>
      </c>
    </row>
    <row r="2" spans="1:61">
      <c r="A2" s="3790" t="s">
        <v>3484</v>
      </c>
      <c r="B2" s="3790" t="s">
        <v>3380</v>
      </c>
      <c r="C2" s="3790" t="s">
        <v>3485</v>
      </c>
      <c r="D2" s="3790" t="s">
        <v>3486</v>
      </c>
      <c r="E2" s="3790" t="s">
        <v>3487</v>
      </c>
      <c r="F2" s="3790" t="s">
        <v>3488</v>
      </c>
      <c r="G2" s="3790" t="s">
        <v>3489</v>
      </c>
      <c r="H2" s="3790" t="s">
        <v>3490</v>
      </c>
      <c r="I2" s="3790">
        <v>37655.61</v>
      </c>
      <c r="J2" s="3790">
        <v>56108.97</v>
      </c>
      <c r="K2" s="3790" t="s">
        <v>3491</v>
      </c>
      <c r="L2" s="3790">
        <v>1.6</v>
      </c>
      <c r="M2" s="3790" t="s">
        <v>3492</v>
      </c>
      <c r="N2" s="3790" t="s">
        <v>3493</v>
      </c>
      <c r="O2" s="3790" t="s">
        <v>3494</v>
      </c>
      <c r="P2" s="3790" t="s">
        <v>3495</v>
      </c>
      <c r="Q2" s="3790" t="s">
        <v>3496</v>
      </c>
      <c r="R2" s="3790" t="s">
        <v>3496</v>
      </c>
      <c r="S2" s="3790" t="s">
        <v>3497</v>
      </c>
      <c r="T2" s="3790" t="s">
        <v>3496</v>
      </c>
      <c r="U2" s="3790" t="s">
        <v>3496</v>
      </c>
      <c r="V2" s="3790" t="s">
        <v>3496</v>
      </c>
      <c r="W2" s="3790" t="s">
        <v>3496</v>
      </c>
      <c r="X2" s="3790" t="s">
        <v>3496</v>
      </c>
      <c r="Y2" s="3790" t="s">
        <v>3496</v>
      </c>
      <c r="Z2" s="3790">
        <v>0</v>
      </c>
      <c r="AA2" s="3790">
        <v>0</v>
      </c>
      <c r="AB2" s="3791">
        <v>45329.000497685185</v>
      </c>
      <c r="AC2" s="3791">
        <v>45352.000497685185</v>
      </c>
      <c r="AD2" s="3791">
        <v>45366.000497685185</v>
      </c>
      <c r="AE2" s="3791">
        <v>45366.000497685185</v>
      </c>
      <c r="AF2" s="3790" t="s">
        <v>3498</v>
      </c>
      <c r="AG2" s="3790" t="s">
        <v>3499</v>
      </c>
      <c r="AH2" s="3790" t="s">
        <v>3500</v>
      </c>
      <c r="AI2" s="3790" t="s">
        <v>3501</v>
      </c>
      <c r="AJ2" s="3790" t="s">
        <v>3502</v>
      </c>
      <c r="AK2" s="3790" t="s">
        <v>3503</v>
      </c>
      <c r="AL2" s="3790">
        <v>74000</v>
      </c>
      <c r="AM2" s="3790">
        <v>15000</v>
      </c>
      <c r="AN2" s="3790" t="s">
        <v>3504</v>
      </c>
      <c r="AO2" s="3790">
        <v>74000</v>
      </c>
      <c r="AP2" s="3790">
        <v>19651.78</v>
      </c>
      <c r="AQ2" s="3790">
        <v>19651.78</v>
      </c>
      <c r="AR2" s="3790">
        <v>1310.1199999999999</v>
      </c>
      <c r="AS2" s="3790">
        <v>1310.1199999999999</v>
      </c>
      <c r="AT2" s="3790">
        <v>13189</v>
      </c>
      <c r="AU2" s="3790">
        <v>13189</v>
      </c>
      <c r="AV2" s="3790" t="s">
        <v>3496</v>
      </c>
      <c r="AW2" s="3790" t="s">
        <v>3496</v>
      </c>
      <c r="AX2" s="3790">
        <v>0</v>
      </c>
      <c r="AY2" s="3790" t="s">
        <v>3505</v>
      </c>
      <c r="AZ2" s="3790" t="s">
        <v>3496</v>
      </c>
      <c r="BA2" s="3790" t="s">
        <v>3496</v>
      </c>
      <c r="BB2" s="3790" t="s">
        <v>3496</v>
      </c>
      <c r="BC2" s="3790" t="s">
        <v>3496</v>
      </c>
      <c r="BD2" s="3790" t="s">
        <v>3496</v>
      </c>
      <c r="BE2" s="3790" t="s">
        <v>3496</v>
      </c>
      <c r="BF2" s="3790" t="s">
        <v>3496</v>
      </c>
      <c r="BG2" s="3790" t="s">
        <v>3506</v>
      </c>
      <c r="BH2" s="3790" t="s">
        <v>3507</v>
      </c>
      <c r="BI2" s="3790" t="s">
        <v>3508</v>
      </c>
    </row>
    <row r="3" spans="1:61">
      <c r="A3" s="3790" t="s">
        <v>3509</v>
      </c>
      <c r="B3" s="3790" t="s">
        <v>3380</v>
      </c>
      <c r="C3" s="3790" t="s">
        <v>3510</v>
      </c>
      <c r="D3" s="3790" t="s">
        <v>3486</v>
      </c>
      <c r="E3" s="3790" t="s">
        <v>3487</v>
      </c>
      <c r="F3" s="3790" t="s">
        <v>3511</v>
      </c>
      <c r="G3" s="3790" t="s">
        <v>3512</v>
      </c>
      <c r="H3" s="3790" t="s">
        <v>3490</v>
      </c>
      <c r="I3" s="3790">
        <v>70601.06</v>
      </c>
      <c r="J3" s="3790">
        <v>285523</v>
      </c>
      <c r="K3" s="3790">
        <v>4.04</v>
      </c>
      <c r="L3" s="3790">
        <v>4.04</v>
      </c>
      <c r="M3" s="3790" t="s">
        <v>3492</v>
      </c>
      <c r="N3" s="3790" t="s">
        <v>3513</v>
      </c>
      <c r="O3" s="3790" t="s">
        <v>3514</v>
      </c>
      <c r="P3" s="3790" t="s">
        <v>3495</v>
      </c>
      <c r="Q3" s="3790" t="s">
        <v>3496</v>
      </c>
      <c r="R3" s="3790" t="s">
        <v>3496</v>
      </c>
      <c r="S3" s="3790" t="s">
        <v>3496</v>
      </c>
      <c r="T3" s="3790" t="s">
        <v>3496</v>
      </c>
      <c r="U3" s="3790" t="s">
        <v>3496</v>
      </c>
      <c r="V3" s="3790" t="s">
        <v>3496</v>
      </c>
      <c r="W3" s="3790" t="s">
        <v>3496</v>
      </c>
      <c r="X3" s="3790" t="s">
        <v>3496</v>
      </c>
      <c r="Y3" s="3790" t="s">
        <v>3496</v>
      </c>
      <c r="Z3" s="3790">
        <v>0</v>
      </c>
      <c r="AA3" s="3790">
        <v>0</v>
      </c>
      <c r="AB3" s="3791">
        <v>45279.000497685185</v>
      </c>
      <c r="AC3" s="3791">
        <v>45300.000497685185</v>
      </c>
      <c r="AD3" s="3791">
        <v>45314.000497685185</v>
      </c>
      <c r="AE3" s="3791">
        <v>45314.000497685185</v>
      </c>
      <c r="AF3" s="3790" t="s">
        <v>3515</v>
      </c>
      <c r="AG3" s="3790" t="s">
        <v>3499</v>
      </c>
      <c r="AH3" s="3790" t="s">
        <v>3516</v>
      </c>
      <c r="AI3" s="3790" t="s">
        <v>3517</v>
      </c>
      <c r="AJ3" s="3790" t="s">
        <v>3496</v>
      </c>
      <c r="AK3" s="3790" t="s">
        <v>3496</v>
      </c>
      <c r="AL3" s="3790">
        <v>642000</v>
      </c>
      <c r="AM3" s="3790">
        <v>129000</v>
      </c>
      <c r="AN3" s="3790" t="s">
        <v>3518</v>
      </c>
      <c r="AO3" s="3790">
        <v>642000</v>
      </c>
      <c r="AP3" s="3790">
        <v>90933.48</v>
      </c>
      <c r="AQ3" s="3790">
        <v>90933.48</v>
      </c>
      <c r="AR3" s="3790">
        <v>6062.23</v>
      </c>
      <c r="AS3" s="3790">
        <v>6062.23</v>
      </c>
      <c r="AT3" s="3790">
        <v>22485</v>
      </c>
      <c r="AU3" s="3790">
        <v>22485</v>
      </c>
      <c r="AV3" s="3790" t="s">
        <v>3496</v>
      </c>
      <c r="AW3" s="3790" t="s">
        <v>3496</v>
      </c>
      <c r="AX3" s="3790">
        <v>0</v>
      </c>
      <c r="AY3" s="3790" t="s">
        <v>3519</v>
      </c>
      <c r="AZ3" s="3790" t="s">
        <v>3496</v>
      </c>
      <c r="BA3" s="3790" t="s">
        <v>3496</v>
      </c>
      <c r="BB3" s="3790" t="s">
        <v>3496</v>
      </c>
      <c r="BC3" s="3790" t="s">
        <v>3496</v>
      </c>
      <c r="BD3" s="3790" t="s">
        <v>3496</v>
      </c>
      <c r="BE3" s="3790" t="s">
        <v>3496</v>
      </c>
      <c r="BF3" s="3790" t="s">
        <v>3496</v>
      </c>
      <c r="BG3" s="3790" t="s">
        <v>3506</v>
      </c>
      <c r="BH3" s="3790" t="s">
        <v>3507</v>
      </c>
      <c r="BI3" s="3790" t="s">
        <v>3508</v>
      </c>
    </row>
    <row r="4" spans="1:61">
      <c r="A4" s="3790" t="s">
        <v>3520</v>
      </c>
      <c r="B4" s="3790" t="s">
        <v>3380</v>
      </c>
      <c r="C4" s="3790" t="s">
        <v>3521</v>
      </c>
      <c r="D4" s="3790" t="s">
        <v>3486</v>
      </c>
      <c r="E4" s="3790" t="s">
        <v>3522</v>
      </c>
      <c r="F4" s="3790" t="s">
        <v>3523</v>
      </c>
      <c r="G4" s="3790" t="s">
        <v>3524</v>
      </c>
      <c r="H4" s="3790" t="s">
        <v>3490</v>
      </c>
      <c r="I4" s="3790">
        <v>7467</v>
      </c>
      <c r="J4" s="3790">
        <v>52000</v>
      </c>
      <c r="K4" s="3790" t="s">
        <v>3525</v>
      </c>
      <c r="L4" s="3790">
        <v>7</v>
      </c>
      <c r="M4" s="3790" t="s">
        <v>3492</v>
      </c>
      <c r="N4" s="3790" t="s">
        <v>3513</v>
      </c>
      <c r="O4" s="3790" t="s">
        <v>3526</v>
      </c>
      <c r="P4" s="3790" t="s">
        <v>3495</v>
      </c>
      <c r="Q4" s="3790" t="s">
        <v>3496</v>
      </c>
      <c r="R4" s="3790" t="s">
        <v>3496</v>
      </c>
      <c r="S4" s="3790">
        <v>90</v>
      </c>
      <c r="T4" s="3790" t="s">
        <v>3496</v>
      </c>
      <c r="U4" s="3790" t="s">
        <v>3496</v>
      </c>
      <c r="V4" s="3790" t="s">
        <v>3496</v>
      </c>
      <c r="W4" s="3790" t="s">
        <v>3496</v>
      </c>
      <c r="X4" s="3790" t="s">
        <v>3496</v>
      </c>
      <c r="Y4" s="3790" t="s">
        <v>3496</v>
      </c>
      <c r="Z4" s="3790">
        <v>0</v>
      </c>
      <c r="AA4" s="3790">
        <v>0</v>
      </c>
      <c r="AB4" s="3791">
        <v>45254.000497685185</v>
      </c>
      <c r="AC4" s="3791">
        <v>45274.000497685185</v>
      </c>
      <c r="AD4" s="3791">
        <v>45288.000497685185</v>
      </c>
      <c r="AE4" s="3791">
        <v>45288.000497685185</v>
      </c>
      <c r="AF4" s="3790" t="s">
        <v>3527</v>
      </c>
      <c r="AG4" s="3790" t="s">
        <v>3499</v>
      </c>
      <c r="AH4" s="3790" t="s">
        <v>3528</v>
      </c>
      <c r="AI4" s="3790" t="s">
        <v>3529</v>
      </c>
      <c r="AJ4" s="3790" t="s">
        <v>3496</v>
      </c>
      <c r="AK4" s="3790" t="s">
        <v>3496</v>
      </c>
      <c r="AL4" s="3790">
        <v>118000</v>
      </c>
      <c r="AM4" s="3790">
        <v>24000</v>
      </c>
      <c r="AN4" s="3790" t="s">
        <v>3530</v>
      </c>
      <c r="AO4" s="3790">
        <v>118000</v>
      </c>
      <c r="AP4" s="3790">
        <v>158028.66</v>
      </c>
      <c r="AQ4" s="3790">
        <v>158028.66</v>
      </c>
      <c r="AR4" s="3790">
        <v>10535.24</v>
      </c>
      <c r="AS4" s="3790">
        <v>10535.24</v>
      </c>
      <c r="AT4" s="3790">
        <v>22692</v>
      </c>
      <c r="AU4" s="3790">
        <v>22692</v>
      </c>
      <c r="AV4" s="3790" t="s">
        <v>3496</v>
      </c>
      <c r="AW4" s="3790" t="s">
        <v>3496</v>
      </c>
      <c r="AX4" s="3790">
        <v>0</v>
      </c>
      <c r="AY4" s="3790" t="s">
        <v>3531</v>
      </c>
      <c r="AZ4" s="3790" t="s">
        <v>3496</v>
      </c>
      <c r="BA4" s="3790" t="s">
        <v>3496</v>
      </c>
      <c r="BB4" s="3790" t="s">
        <v>3496</v>
      </c>
      <c r="BC4" s="3790" t="s">
        <v>3496</v>
      </c>
      <c r="BD4" s="3790" t="s">
        <v>3496</v>
      </c>
      <c r="BE4" s="3790" t="s">
        <v>3496</v>
      </c>
      <c r="BF4" s="3790" t="s">
        <v>3496</v>
      </c>
      <c r="BG4" s="3790" t="s">
        <v>3506</v>
      </c>
      <c r="BH4" s="3790" t="s">
        <v>3507</v>
      </c>
      <c r="BI4" s="3790" t="s">
        <v>3508</v>
      </c>
    </row>
    <row r="5" spans="1:61">
      <c r="A5" s="3790" t="s">
        <v>3532</v>
      </c>
      <c r="B5" s="3790" t="s">
        <v>3380</v>
      </c>
      <c r="C5" s="3790" t="s">
        <v>3533</v>
      </c>
      <c r="D5" s="3790" t="s">
        <v>3486</v>
      </c>
      <c r="E5" s="3790" t="s">
        <v>3487</v>
      </c>
      <c r="F5" s="3790" t="s">
        <v>3488</v>
      </c>
      <c r="G5" s="3790" t="s">
        <v>3534</v>
      </c>
      <c r="H5" s="3790" t="s">
        <v>3490</v>
      </c>
      <c r="I5" s="3790">
        <v>49900.54</v>
      </c>
      <c r="J5" s="3790">
        <v>109781.19</v>
      </c>
      <c r="K5" s="3790">
        <v>2.2000000000000002</v>
      </c>
      <c r="L5" s="3790">
        <v>2.2000000000000002</v>
      </c>
      <c r="M5" s="3790" t="s">
        <v>3492</v>
      </c>
      <c r="N5" s="3790" t="s">
        <v>3535</v>
      </c>
      <c r="O5" s="3790" t="s">
        <v>3536</v>
      </c>
      <c r="P5" s="3790" t="s">
        <v>3495</v>
      </c>
      <c r="Q5" s="3790" t="s">
        <v>3496</v>
      </c>
      <c r="R5" s="3790" t="s">
        <v>3496</v>
      </c>
      <c r="S5" s="3790">
        <v>45</v>
      </c>
      <c r="T5" s="3790" t="s">
        <v>3496</v>
      </c>
      <c r="U5" s="3790" t="s">
        <v>3496</v>
      </c>
      <c r="V5" s="3790" t="s">
        <v>3496</v>
      </c>
      <c r="W5" s="3790" t="s">
        <v>3496</v>
      </c>
      <c r="X5" s="3790" t="s">
        <v>3496</v>
      </c>
      <c r="Y5" s="3790" t="s">
        <v>3496</v>
      </c>
      <c r="Z5" s="3790">
        <v>0</v>
      </c>
      <c r="AA5" s="3790">
        <v>0</v>
      </c>
      <c r="AB5" s="3791">
        <v>45107.000497685185</v>
      </c>
      <c r="AC5" s="3791">
        <v>45127.000497685185</v>
      </c>
      <c r="AD5" s="3791">
        <v>45141.000497685185</v>
      </c>
      <c r="AE5" s="3791">
        <v>45141.000497685185</v>
      </c>
      <c r="AF5" s="3790" t="s">
        <v>3537</v>
      </c>
      <c r="AG5" s="3790" t="s">
        <v>3499</v>
      </c>
      <c r="AH5" s="3790" t="s">
        <v>3538</v>
      </c>
      <c r="AI5" s="3790" t="s">
        <v>3539</v>
      </c>
      <c r="AJ5" s="3790" t="s">
        <v>3496</v>
      </c>
      <c r="AK5" s="3790" t="s">
        <v>3496</v>
      </c>
      <c r="AL5" s="3790">
        <v>227000</v>
      </c>
      <c r="AM5" s="3790">
        <v>46000</v>
      </c>
      <c r="AN5" s="3790" t="s">
        <v>3540</v>
      </c>
      <c r="AO5" s="3790">
        <v>227000</v>
      </c>
      <c r="AP5" s="3790">
        <v>45490.49</v>
      </c>
      <c r="AQ5" s="3790">
        <v>45490.49</v>
      </c>
      <c r="AR5" s="3790">
        <v>3032.7</v>
      </c>
      <c r="AS5" s="3790">
        <v>3032.7</v>
      </c>
      <c r="AT5" s="3790">
        <v>20677</v>
      </c>
      <c r="AU5" s="3790">
        <v>20677</v>
      </c>
      <c r="AV5" s="3790" t="s">
        <v>3496</v>
      </c>
      <c r="AW5" s="3790" t="s">
        <v>3496</v>
      </c>
      <c r="AX5" s="3790">
        <v>0</v>
      </c>
      <c r="AY5" s="3790" t="s">
        <v>3541</v>
      </c>
      <c r="AZ5" s="3790" t="s">
        <v>3496</v>
      </c>
      <c r="BA5" s="3790" t="s">
        <v>3496</v>
      </c>
      <c r="BB5" s="3790" t="s">
        <v>3496</v>
      </c>
      <c r="BC5" s="3790" t="s">
        <v>3496</v>
      </c>
      <c r="BD5" s="3790" t="s">
        <v>3496</v>
      </c>
      <c r="BE5" s="3790" t="s">
        <v>3496</v>
      </c>
      <c r="BF5" s="3790" t="s">
        <v>3496</v>
      </c>
      <c r="BG5" s="3790" t="s">
        <v>3506</v>
      </c>
      <c r="BH5" s="3790" t="s">
        <v>3507</v>
      </c>
      <c r="BI5" s="3790" t="s">
        <v>3508</v>
      </c>
    </row>
    <row r="6" spans="1:61">
      <c r="A6" s="3790" t="s">
        <v>3542</v>
      </c>
      <c r="B6" s="3790" t="s">
        <v>3380</v>
      </c>
      <c r="C6" s="3790" t="s">
        <v>3543</v>
      </c>
      <c r="D6" s="3790" t="s">
        <v>3486</v>
      </c>
      <c r="E6" s="3790" t="s">
        <v>3522</v>
      </c>
      <c r="F6" s="3790" t="s">
        <v>3544</v>
      </c>
      <c r="G6" s="3790" t="s">
        <v>3524</v>
      </c>
      <c r="H6" s="3790" t="s">
        <v>3490</v>
      </c>
      <c r="I6" s="3790">
        <v>67829.210000000006</v>
      </c>
      <c r="J6" s="3790">
        <v>298100</v>
      </c>
      <c r="K6" s="3790">
        <v>4.4000000000000004</v>
      </c>
      <c r="L6" s="3790">
        <v>4.4000000000000004</v>
      </c>
      <c r="M6" s="3790" t="s">
        <v>3492</v>
      </c>
      <c r="N6" s="3790" t="s">
        <v>3545</v>
      </c>
      <c r="O6" s="3790" t="s">
        <v>3546</v>
      </c>
      <c r="P6" s="3790" t="s">
        <v>3495</v>
      </c>
      <c r="Q6" s="3790" t="s">
        <v>3496</v>
      </c>
      <c r="R6" s="3790" t="s">
        <v>3496</v>
      </c>
      <c r="S6" s="3790" t="s">
        <v>3496</v>
      </c>
      <c r="T6" s="3790" t="s">
        <v>3496</v>
      </c>
      <c r="U6" s="3790" t="s">
        <v>3496</v>
      </c>
      <c r="V6" s="3790" t="s">
        <v>3496</v>
      </c>
      <c r="W6" s="3790" t="s">
        <v>3496</v>
      </c>
      <c r="X6" s="3790" t="s">
        <v>3496</v>
      </c>
      <c r="Y6" s="3790" t="s">
        <v>3496</v>
      </c>
      <c r="Z6" s="3790">
        <v>0</v>
      </c>
      <c r="AA6" s="3790">
        <v>0</v>
      </c>
      <c r="AB6" s="3791">
        <v>45056.000497685185</v>
      </c>
      <c r="AC6" s="3791">
        <v>45076.000497685185</v>
      </c>
      <c r="AD6" s="3791">
        <v>45090.000497685185</v>
      </c>
      <c r="AE6" s="3791">
        <v>45090.000497685185</v>
      </c>
      <c r="AF6" s="3790" t="s">
        <v>3547</v>
      </c>
      <c r="AG6" s="3790" t="s">
        <v>3499</v>
      </c>
      <c r="AH6" s="3790" t="s">
        <v>3548</v>
      </c>
      <c r="AI6" s="3790" t="s">
        <v>3549</v>
      </c>
      <c r="AJ6" s="3790" t="s">
        <v>3550</v>
      </c>
      <c r="AK6" s="3790" t="s">
        <v>3551</v>
      </c>
      <c r="AL6" s="3790">
        <v>680000</v>
      </c>
      <c r="AM6" s="3790">
        <v>136000</v>
      </c>
      <c r="AN6" s="3790" t="s">
        <v>3552</v>
      </c>
      <c r="AO6" s="3790">
        <v>680000</v>
      </c>
      <c r="AP6" s="3790">
        <v>100251.8</v>
      </c>
      <c r="AQ6" s="3790">
        <v>100251.8</v>
      </c>
      <c r="AR6" s="3790">
        <v>6683.45</v>
      </c>
      <c r="AS6" s="3790">
        <v>6683.45</v>
      </c>
      <c r="AT6" s="3790">
        <v>22811</v>
      </c>
      <c r="AU6" s="3790">
        <v>22811</v>
      </c>
      <c r="AV6" s="3790" t="s">
        <v>3496</v>
      </c>
      <c r="AW6" s="3790" t="s">
        <v>3496</v>
      </c>
      <c r="AX6" s="3790">
        <v>0</v>
      </c>
      <c r="AY6" s="3790" t="s">
        <v>3541</v>
      </c>
      <c r="AZ6" s="3790" t="s">
        <v>3496</v>
      </c>
      <c r="BA6" s="3790" t="s">
        <v>3496</v>
      </c>
      <c r="BB6" s="3790" t="s">
        <v>3496</v>
      </c>
      <c r="BC6" s="3790" t="s">
        <v>3496</v>
      </c>
      <c r="BD6" s="3790" t="s">
        <v>3496</v>
      </c>
      <c r="BE6" s="3790" t="s">
        <v>3496</v>
      </c>
      <c r="BF6" s="3790" t="s">
        <v>3496</v>
      </c>
      <c r="BG6" s="3790" t="s">
        <v>3506</v>
      </c>
      <c r="BH6" s="3790" t="s">
        <v>3507</v>
      </c>
      <c r="BI6" s="3790" t="s">
        <v>3508</v>
      </c>
    </row>
    <row r="7" spans="1:61">
      <c r="A7" s="3790" t="s">
        <v>3553</v>
      </c>
      <c r="B7" s="3790" t="s">
        <v>3380</v>
      </c>
      <c r="C7" s="3790" t="s">
        <v>3554</v>
      </c>
      <c r="D7" s="3790" t="s">
        <v>3486</v>
      </c>
      <c r="E7" s="3790" t="s">
        <v>3487</v>
      </c>
      <c r="F7" s="3790" t="s">
        <v>3488</v>
      </c>
      <c r="G7" s="3790" t="s">
        <v>3555</v>
      </c>
      <c r="H7" s="3790" t="s">
        <v>3490</v>
      </c>
      <c r="I7" s="3790">
        <v>32733.22</v>
      </c>
      <c r="J7" s="3790">
        <v>72013.08</v>
      </c>
      <c r="K7" s="3790">
        <v>2.2000000000000002</v>
      </c>
      <c r="L7" s="3790">
        <v>2.2000000000000002</v>
      </c>
      <c r="M7" s="3790" t="s">
        <v>3492</v>
      </c>
      <c r="N7" s="3790" t="s">
        <v>3535</v>
      </c>
      <c r="O7" s="3790" t="s">
        <v>3536</v>
      </c>
      <c r="P7" s="3790" t="s">
        <v>3495</v>
      </c>
      <c r="Q7" s="3790" t="s">
        <v>3496</v>
      </c>
      <c r="R7" s="3790" t="s">
        <v>3496</v>
      </c>
      <c r="S7" s="3790" t="s">
        <v>3496</v>
      </c>
      <c r="T7" s="3790" t="s">
        <v>3496</v>
      </c>
      <c r="U7" s="3790" t="s">
        <v>3496</v>
      </c>
      <c r="V7" s="3790" t="s">
        <v>3496</v>
      </c>
      <c r="W7" s="3790" t="s">
        <v>3496</v>
      </c>
      <c r="X7" s="3790" t="s">
        <v>3496</v>
      </c>
      <c r="Y7" s="3790" t="s">
        <v>3496</v>
      </c>
      <c r="Z7" s="3790">
        <v>0</v>
      </c>
      <c r="AA7" s="3790">
        <v>0</v>
      </c>
      <c r="AB7" s="3791">
        <v>44830.000497685185</v>
      </c>
      <c r="AC7" s="3791">
        <v>44851.000497685185</v>
      </c>
      <c r="AD7" s="3791">
        <v>44865.000497685185</v>
      </c>
      <c r="AE7" s="3791">
        <v>44865.000497685185</v>
      </c>
      <c r="AF7" s="3790" t="s">
        <v>3556</v>
      </c>
      <c r="AG7" s="3790" t="s">
        <v>3499</v>
      </c>
      <c r="AH7" s="3790" t="s">
        <v>3557</v>
      </c>
      <c r="AI7" s="3790" t="s">
        <v>3501</v>
      </c>
      <c r="AJ7" s="3790" t="s">
        <v>3502</v>
      </c>
      <c r="AK7" s="3790" t="s">
        <v>3503</v>
      </c>
      <c r="AL7" s="3790">
        <v>149000</v>
      </c>
      <c r="AM7" s="3790">
        <v>30000</v>
      </c>
      <c r="AN7" s="3790" t="s">
        <v>3558</v>
      </c>
      <c r="AO7" s="3790">
        <v>149000</v>
      </c>
      <c r="AP7" s="3790">
        <v>45519.5</v>
      </c>
      <c r="AQ7" s="3790">
        <v>45519.5</v>
      </c>
      <c r="AR7" s="3790">
        <v>3034.63</v>
      </c>
      <c r="AS7" s="3790">
        <v>3034.63</v>
      </c>
      <c r="AT7" s="3790">
        <v>20691</v>
      </c>
      <c r="AU7" s="3790">
        <v>20691</v>
      </c>
      <c r="AV7" s="3790" t="s">
        <v>3496</v>
      </c>
      <c r="AW7" s="3790" t="s">
        <v>3496</v>
      </c>
      <c r="AX7" s="3790">
        <v>0</v>
      </c>
      <c r="AY7" s="3790" t="s">
        <v>3541</v>
      </c>
      <c r="AZ7" s="3790" t="s">
        <v>3496</v>
      </c>
      <c r="BA7" s="3790" t="s">
        <v>3496</v>
      </c>
      <c r="BB7" s="3790" t="s">
        <v>3496</v>
      </c>
      <c r="BC7" s="3790" t="s">
        <v>3496</v>
      </c>
      <c r="BD7" s="3790" t="s">
        <v>3496</v>
      </c>
      <c r="BE7" s="3790" t="s">
        <v>3496</v>
      </c>
      <c r="BF7" s="3790" t="s">
        <v>3496</v>
      </c>
      <c r="BG7" s="3790" t="s">
        <v>3506</v>
      </c>
      <c r="BH7" s="3790" t="s">
        <v>3507</v>
      </c>
      <c r="BI7" s="3790" t="s">
        <v>3508</v>
      </c>
    </row>
    <row r="8" spans="1:61">
      <c r="A8" s="3790" t="s">
        <v>3559</v>
      </c>
      <c r="B8" s="3790" t="s">
        <v>3380</v>
      </c>
      <c r="C8" s="3790" t="s">
        <v>3560</v>
      </c>
      <c r="D8" s="3790" t="s">
        <v>3486</v>
      </c>
      <c r="E8" s="3790" t="s">
        <v>3487</v>
      </c>
      <c r="F8" s="3790" t="s">
        <v>3488</v>
      </c>
      <c r="G8" s="3790" t="s">
        <v>3555</v>
      </c>
      <c r="H8" s="3790" t="s">
        <v>3490</v>
      </c>
      <c r="I8" s="3790">
        <v>29506.55</v>
      </c>
      <c r="J8" s="3790">
        <v>64914.41</v>
      </c>
      <c r="K8" s="3790">
        <v>2.2000000000000002</v>
      </c>
      <c r="L8" s="3790">
        <v>2.2000000000000002</v>
      </c>
      <c r="M8" s="3790" t="s">
        <v>3492</v>
      </c>
      <c r="N8" s="3790" t="s">
        <v>3535</v>
      </c>
      <c r="O8" s="3790" t="s">
        <v>3536</v>
      </c>
      <c r="P8" s="3790" t="s">
        <v>3495</v>
      </c>
      <c r="Q8" s="3790" t="s">
        <v>3496</v>
      </c>
      <c r="R8" s="3790" t="s">
        <v>3496</v>
      </c>
      <c r="S8" s="3790" t="s">
        <v>3496</v>
      </c>
      <c r="T8" s="3790" t="s">
        <v>3496</v>
      </c>
      <c r="U8" s="3790" t="s">
        <v>3496</v>
      </c>
      <c r="V8" s="3790" t="s">
        <v>3496</v>
      </c>
      <c r="W8" s="3790" t="s">
        <v>3496</v>
      </c>
      <c r="X8" s="3790" t="s">
        <v>3496</v>
      </c>
      <c r="Y8" s="3790" t="s">
        <v>3496</v>
      </c>
      <c r="Z8" s="3790">
        <v>0</v>
      </c>
      <c r="AA8" s="3790">
        <v>0</v>
      </c>
      <c r="AB8" s="3791">
        <v>44830.000497685185</v>
      </c>
      <c r="AC8" s="3791">
        <v>44851.000497685185</v>
      </c>
      <c r="AD8" s="3791">
        <v>44865.000497685185</v>
      </c>
      <c r="AE8" s="3791">
        <v>44865.000497685185</v>
      </c>
      <c r="AF8" s="3790" t="s">
        <v>3561</v>
      </c>
      <c r="AG8" s="3790" t="s">
        <v>3499</v>
      </c>
      <c r="AH8" s="3790" t="s">
        <v>3562</v>
      </c>
      <c r="AI8" s="3790" t="s">
        <v>3501</v>
      </c>
      <c r="AJ8" s="3790" t="s">
        <v>3502</v>
      </c>
      <c r="AK8" s="3790" t="s">
        <v>3503</v>
      </c>
      <c r="AL8" s="3790">
        <v>135000</v>
      </c>
      <c r="AM8" s="3790">
        <v>27000</v>
      </c>
      <c r="AN8" s="3790" t="s">
        <v>3558</v>
      </c>
      <c r="AO8" s="3790">
        <v>135000</v>
      </c>
      <c r="AP8" s="3790">
        <v>45752.55</v>
      </c>
      <c r="AQ8" s="3790">
        <v>45752.55</v>
      </c>
      <c r="AR8" s="3790">
        <v>3050.17</v>
      </c>
      <c r="AS8" s="3790">
        <v>3050.17</v>
      </c>
      <c r="AT8" s="3790">
        <v>20797</v>
      </c>
      <c r="AU8" s="3790">
        <v>20797</v>
      </c>
      <c r="AV8" s="3790" t="s">
        <v>3496</v>
      </c>
      <c r="AW8" s="3790" t="s">
        <v>3496</v>
      </c>
      <c r="AX8" s="3790">
        <v>0</v>
      </c>
      <c r="AY8" s="3790" t="s">
        <v>3541</v>
      </c>
      <c r="AZ8" s="3790" t="s">
        <v>3496</v>
      </c>
      <c r="BA8" s="3790" t="s">
        <v>3496</v>
      </c>
      <c r="BB8" s="3790" t="s">
        <v>3496</v>
      </c>
      <c r="BC8" s="3790" t="s">
        <v>3496</v>
      </c>
      <c r="BD8" s="3790" t="s">
        <v>3496</v>
      </c>
      <c r="BE8" s="3790" t="s">
        <v>3496</v>
      </c>
      <c r="BF8" s="3790" t="s">
        <v>3496</v>
      </c>
      <c r="BG8" s="3790" t="s">
        <v>3506</v>
      </c>
      <c r="BH8" s="3790" t="s">
        <v>3507</v>
      </c>
      <c r="BI8" s="3790" t="s">
        <v>3508</v>
      </c>
    </row>
    <row r="9" spans="1:61">
      <c r="A9" s="3790" t="s">
        <v>3563</v>
      </c>
      <c r="B9" s="3790" t="s">
        <v>3380</v>
      </c>
      <c r="C9" s="3790" t="s">
        <v>3564</v>
      </c>
      <c r="D9" s="3790" t="s">
        <v>3486</v>
      </c>
      <c r="E9" s="3790" t="s">
        <v>3522</v>
      </c>
      <c r="F9" s="3790" t="s">
        <v>3544</v>
      </c>
      <c r="G9" s="3790" t="s">
        <v>3524</v>
      </c>
      <c r="H9" s="3790" t="s">
        <v>3490</v>
      </c>
      <c r="I9" s="3790">
        <v>12629.88</v>
      </c>
      <c r="J9" s="3790">
        <v>80000</v>
      </c>
      <c r="K9" s="3790" t="s">
        <v>3565</v>
      </c>
      <c r="L9" s="3790">
        <v>6.33</v>
      </c>
      <c r="M9" s="3790" t="s">
        <v>3492</v>
      </c>
      <c r="N9" s="3790" t="s">
        <v>3535</v>
      </c>
      <c r="O9" s="3790" t="s">
        <v>3526</v>
      </c>
      <c r="P9" s="3790" t="s">
        <v>3495</v>
      </c>
      <c r="Q9" s="3790" t="s">
        <v>3496</v>
      </c>
      <c r="R9" s="3790">
        <v>0.4</v>
      </c>
      <c r="S9" s="3790" t="s">
        <v>3496</v>
      </c>
      <c r="T9" s="3790" t="s">
        <v>3496</v>
      </c>
      <c r="U9" s="3790" t="s">
        <v>3496</v>
      </c>
      <c r="V9" s="3790" t="s">
        <v>3496</v>
      </c>
      <c r="W9" s="3790" t="s">
        <v>3496</v>
      </c>
      <c r="X9" s="3790">
        <v>0</v>
      </c>
      <c r="Y9" s="3790">
        <v>0</v>
      </c>
      <c r="Z9" s="3790">
        <v>0</v>
      </c>
      <c r="AA9" s="3790">
        <v>0</v>
      </c>
      <c r="AB9" s="3791">
        <v>44764.000497685185</v>
      </c>
      <c r="AC9" s="3791">
        <v>44784.000497685185</v>
      </c>
      <c r="AD9" s="3791">
        <v>44798.000497685185</v>
      </c>
      <c r="AE9" s="3791">
        <v>44798.000497685185</v>
      </c>
      <c r="AF9" s="3790" t="s">
        <v>3566</v>
      </c>
      <c r="AG9" s="3790" t="s">
        <v>3499</v>
      </c>
      <c r="AH9" s="3790" t="s">
        <v>3567</v>
      </c>
      <c r="AI9" s="3790" t="s">
        <v>3568</v>
      </c>
      <c r="AJ9" s="3790" t="s">
        <v>3569</v>
      </c>
      <c r="AK9" s="3790" t="s">
        <v>3570</v>
      </c>
      <c r="AL9" s="3790">
        <v>166000</v>
      </c>
      <c r="AM9" s="3790">
        <v>34000</v>
      </c>
      <c r="AN9" s="3790" t="s">
        <v>3571</v>
      </c>
      <c r="AO9" s="3790">
        <v>166000</v>
      </c>
      <c r="AP9" s="3790">
        <v>131434.34</v>
      </c>
      <c r="AQ9" s="3790">
        <v>131434.34</v>
      </c>
      <c r="AR9" s="3790">
        <v>8762.2900000000009</v>
      </c>
      <c r="AS9" s="3790">
        <v>8762.2900000000009</v>
      </c>
      <c r="AT9" s="3790">
        <v>20750</v>
      </c>
      <c r="AU9" s="3790">
        <v>20750</v>
      </c>
      <c r="AV9" s="3790" t="s">
        <v>3496</v>
      </c>
      <c r="AW9" s="3790" t="s">
        <v>3496</v>
      </c>
      <c r="AX9" s="3790">
        <v>0</v>
      </c>
      <c r="AY9" s="3790" t="s">
        <v>3541</v>
      </c>
      <c r="AZ9" s="3790" t="s">
        <v>3496</v>
      </c>
      <c r="BA9" s="3790" t="s">
        <v>3496</v>
      </c>
      <c r="BB9" s="3790" t="s">
        <v>3496</v>
      </c>
      <c r="BC9" s="3790" t="s">
        <v>3496</v>
      </c>
      <c r="BD9" s="3790" t="s">
        <v>3496</v>
      </c>
      <c r="BE9" s="3790" t="s">
        <v>3496</v>
      </c>
      <c r="BF9" s="3790">
        <v>0</v>
      </c>
      <c r="BG9" s="3790" t="s">
        <v>3506</v>
      </c>
      <c r="BH9" s="3790" t="s">
        <v>3507</v>
      </c>
      <c r="BI9" s="3790" t="s">
        <v>3508</v>
      </c>
    </row>
    <row r="10" spans="1:61">
      <c r="A10" s="3790" t="s">
        <v>3572</v>
      </c>
      <c r="B10" s="3790" t="s">
        <v>3380</v>
      </c>
      <c r="C10" s="3790" t="s">
        <v>3573</v>
      </c>
      <c r="D10" s="3790" t="s">
        <v>3486</v>
      </c>
      <c r="E10" s="3790" t="s">
        <v>3487</v>
      </c>
      <c r="F10" s="3790" t="s">
        <v>3488</v>
      </c>
      <c r="G10" s="3790" t="s">
        <v>3574</v>
      </c>
      <c r="H10" s="3790" t="s">
        <v>3490</v>
      </c>
      <c r="I10" s="3790">
        <v>38252.550000000003</v>
      </c>
      <c r="J10" s="3790">
        <v>84155.61</v>
      </c>
      <c r="K10" s="3790">
        <v>2.2000000000000002</v>
      </c>
      <c r="L10" s="3790">
        <v>2.2000000000000002</v>
      </c>
      <c r="M10" s="3790" t="s">
        <v>3492</v>
      </c>
      <c r="N10" s="3790" t="s">
        <v>3535</v>
      </c>
      <c r="O10" s="3790" t="s">
        <v>3536</v>
      </c>
      <c r="P10" s="3790" t="s">
        <v>3495</v>
      </c>
      <c r="Q10" s="3790" t="s">
        <v>3496</v>
      </c>
      <c r="R10" s="3790" t="s">
        <v>3496</v>
      </c>
      <c r="S10" s="3790">
        <v>45</v>
      </c>
      <c r="T10" s="3790" t="s">
        <v>3496</v>
      </c>
      <c r="U10" s="3790" t="s">
        <v>3496</v>
      </c>
      <c r="V10" s="3790" t="s">
        <v>3496</v>
      </c>
      <c r="W10" s="3790" t="s">
        <v>3496</v>
      </c>
      <c r="X10" s="3790" t="s">
        <v>3496</v>
      </c>
      <c r="Y10" s="3790" t="s">
        <v>3496</v>
      </c>
      <c r="Z10" s="3790">
        <v>0</v>
      </c>
      <c r="AA10" s="3790">
        <v>0</v>
      </c>
      <c r="AB10" s="3791">
        <v>44457.000497685185</v>
      </c>
      <c r="AC10" s="3791">
        <v>44481.000497685185</v>
      </c>
      <c r="AD10" s="3791">
        <v>44495.000497685185</v>
      </c>
      <c r="AE10" s="3791">
        <v>44495.000497685185</v>
      </c>
      <c r="AF10" s="3790" t="s">
        <v>3575</v>
      </c>
      <c r="AG10" s="3790" t="s">
        <v>3499</v>
      </c>
      <c r="AH10" s="3790" t="s">
        <v>3576</v>
      </c>
      <c r="AI10" s="3790" t="s">
        <v>3496</v>
      </c>
      <c r="AJ10" s="3790" t="s">
        <v>3496</v>
      </c>
      <c r="AK10" s="3790" t="s">
        <v>3496</v>
      </c>
      <c r="AL10" s="3790">
        <v>175000</v>
      </c>
      <c r="AM10" s="3790">
        <v>35000</v>
      </c>
      <c r="AN10" s="3790" t="s">
        <v>3577</v>
      </c>
      <c r="AO10" s="3790">
        <v>175000</v>
      </c>
      <c r="AP10" s="3790">
        <v>45748.58</v>
      </c>
      <c r="AQ10" s="3790">
        <v>45748.58</v>
      </c>
      <c r="AR10" s="3790">
        <v>3049.91</v>
      </c>
      <c r="AS10" s="3790">
        <v>3049.91</v>
      </c>
      <c r="AT10" s="3790">
        <v>20795</v>
      </c>
      <c r="AU10" s="3790">
        <v>20795</v>
      </c>
      <c r="AV10" s="3790" t="s">
        <v>3496</v>
      </c>
      <c r="AW10" s="3790" t="s">
        <v>3496</v>
      </c>
      <c r="AX10" s="3790">
        <v>0</v>
      </c>
      <c r="AY10" s="3790" t="s">
        <v>3578</v>
      </c>
      <c r="AZ10" s="3790" t="s">
        <v>3496</v>
      </c>
      <c r="BA10" s="3790" t="s">
        <v>3496</v>
      </c>
      <c r="BB10" s="3790" t="s">
        <v>3496</v>
      </c>
      <c r="BC10" s="3790" t="s">
        <v>3496</v>
      </c>
      <c r="BD10" s="3790" t="s">
        <v>3496</v>
      </c>
      <c r="BE10" s="3790" t="s">
        <v>3496</v>
      </c>
      <c r="BF10" s="3790" t="s">
        <v>3496</v>
      </c>
      <c r="BG10" s="3790" t="s">
        <v>3579</v>
      </c>
      <c r="BH10" s="3790" t="s">
        <v>3507</v>
      </c>
      <c r="BI10" s="3790" t="s">
        <v>3508</v>
      </c>
    </row>
    <row r="11" spans="1:61">
      <c r="A11" s="3790" t="s">
        <v>3580</v>
      </c>
      <c r="B11" s="3790" t="s">
        <v>3380</v>
      </c>
      <c r="C11" s="3790" t="s">
        <v>3581</v>
      </c>
      <c r="D11" s="3790" t="s">
        <v>3486</v>
      </c>
      <c r="E11" s="3790" t="s">
        <v>3487</v>
      </c>
      <c r="F11" s="3790" t="s">
        <v>3488</v>
      </c>
      <c r="G11" s="3790" t="s">
        <v>3574</v>
      </c>
      <c r="H11" s="3790" t="s">
        <v>3490</v>
      </c>
      <c r="I11" s="3790">
        <v>30025.18</v>
      </c>
      <c r="J11" s="3790">
        <v>66055.39</v>
      </c>
      <c r="K11" s="3790">
        <v>2.2000000000000002</v>
      </c>
      <c r="L11" s="3790">
        <v>2.2000000000000002</v>
      </c>
      <c r="M11" s="3790" t="s">
        <v>3492</v>
      </c>
      <c r="N11" s="3790" t="s">
        <v>3535</v>
      </c>
      <c r="O11" s="3790" t="s">
        <v>3536</v>
      </c>
      <c r="P11" s="3790" t="s">
        <v>3495</v>
      </c>
      <c r="Q11" s="3790" t="s">
        <v>3496</v>
      </c>
      <c r="R11" s="3790" t="s">
        <v>3496</v>
      </c>
      <c r="S11" s="3790">
        <v>45</v>
      </c>
      <c r="T11" s="3790" t="s">
        <v>3496</v>
      </c>
      <c r="U11" s="3790" t="s">
        <v>3496</v>
      </c>
      <c r="V11" s="3790" t="s">
        <v>3496</v>
      </c>
      <c r="W11" s="3790" t="s">
        <v>3496</v>
      </c>
      <c r="X11" s="3790" t="s">
        <v>3496</v>
      </c>
      <c r="Y11" s="3790" t="s">
        <v>3496</v>
      </c>
      <c r="Z11" s="3790">
        <v>0</v>
      </c>
      <c r="AA11" s="3790">
        <v>0</v>
      </c>
      <c r="AB11" s="3791">
        <v>44457.000497685185</v>
      </c>
      <c r="AC11" s="3791">
        <v>44481.000497685185</v>
      </c>
      <c r="AD11" s="3791">
        <v>44495.000497685185</v>
      </c>
      <c r="AE11" s="3791">
        <v>44495.000497685185</v>
      </c>
      <c r="AF11" s="3790" t="s">
        <v>3582</v>
      </c>
      <c r="AG11" s="3790" t="s">
        <v>3499</v>
      </c>
      <c r="AH11" s="3790" t="s">
        <v>3583</v>
      </c>
      <c r="AI11" s="3790" t="s">
        <v>3496</v>
      </c>
      <c r="AJ11" s="3790" t="s">
        <v>3496</v>
      </c>
      <c r="AK11" s="3790" t="s">
        <v>3496</v>
      </c>
      <c r="AL11" s="3790">
        <v>137000</v>
      </c>
      <c r="AM11" s="3790">
        <v>137000</v>
      </c>
      <c r="AN11" s="3790" t="s">
        <v>3577</v>
      </c>
      <c r="AO11" s="3790">
        <v>137000</v>
      </c>
      <c r="AP11" s="3790">
        <v>45628.37</v>
      </c>
      <c r="AQ11" s="3790">
        <v>45628.37</v>
      </c>
      <c r="AR11" s="3790">
        <v>3041.89</v>
      </c>
      <c r="AS11" s="3790">
        <v>3041.89</v>
      </c>
      <c r="AT11" s="3790">
        <v>20740</v>
      </c>
      <c r="AU11" s="3790">
        <v>20740</v>
      </c>
      <c r="AV11" s="3790" t="s">
        <v>3496</v>
      </c>
      <c r="AW11" s="3790" t="s">
        <v>3496</v>
      </c>
      <c r="AX11" s="3790">
        <v>0</v>
      </c>
      <c r="AY11" s="3790" t="s">
        <v>3578</v>
      </c>
      <c r="AZ11" s="3790" t="s">
        <v>3496</v>
      </c>
      <c r="BA11" s="3790" t="s">
        <v>3496</v>
      </c>
      <c r="BB11" s="3790" t="s">
        <v>3496</v>
      </c>
      <c r="BC11" s="3790" t="s">
        <v>3496</v>
      </c>
      <c r="BD11" s="3790" t="s">
        <v>3496</v>
      </c>
      <c r="BE11" s="3790" t="s">
        <v>3496</v>
      </c>
      <c r="BF11" s="3790" t="s">
        <v>3496</v>
      </c>
      <c r="BG11" s="3790" t="s">
        <v>3579</v>
      </c>
      <c r="BH11" s="3790" t="s">
        <v>3507</v>
      </c>
      <c r="BI11" s="3790" t="s">
        <v>3508</v>
      </c>
    </row>
    <row r="12" spans="1:61">
      <c r="A12" s="3790" t="s">
        <v>3584</v>
      </c>
      <c r="B12" s="3790" t="s">
        <v>3380</v>
      </c>
      <c r="C12" s="3790" t="s">
        <v>3585</v>
      </c>
      <c r="D12" s="3790" t="s">
        <v>3486</v>
      </c>
      <c r="E12" s="3790" t="s">
        <v>3487</v>
      </c>
      <c r="F12" s="3790" t="s">
        <v>3488</v>
      </c>
      <c r="G12" s="3790" t="s">
        <v>3574</v>
      </c>
      <c r="H12" s="3790" t="s">
        <v>3490</v>
      </c>
      <c r="I12" s="3790">
        <v>25121.77</v>
      </c>
      <c r="J12" s="3790">
        <v>55267.89</v>
      </c>
      <c r="K12" s="3790">
        <v>2.2000000000000002</v>
      </c>
      <c r="L12" s="3790">
        <v>2.2000000000000002</v>
      </c>
      <c r="M12" s="3790" t="s">
        <v>3492</v>
      </c>
      <c r="N12" s="3790" t="s">
        <v>3535</v>
      </c>
      <c r="O12" s="3790" t="s">
        <v>3536</v>
      </c>
      <c r="P12" s="3790" t="s">
        <v>3495</v>
      </c>
      <c r="Q12" s="3790" t="s">
        <v>3496</v>
      </c>
      <c r="R12" s="3790" t="s">
        <v>3496</v>
      </c>
      <c r="S12" s="3790">
        <v>45</v>
      </c>
      <c r="T12" s="3790" t="s">
        <v>3496</v>
      </c>
      <c r="U12" s="3790" t="s">
        <v>3496</v>
      </c>
      <c r="V12" s="3790" t="s">
        <v>3496</v>
      </c>
      <c r="W12" s="3790" t="s">
        <v>3496</v>
      </c>
      <c r="X12" s="3790" t="s">
        <v>3496</v>
      </c>
      <c r="Y12" s="3790" t="s">
        <v>3496</v>
      </c>
      <c r="Z12" s="3790">
        <v>0</v>
      </c>
      <c r="AA12" s="3790">
        <v>0</v>
      </c>
      <c r="AB12" s="3791">
        <v>44457.000497685185</v>
      </c>
      <c r="AC12" s="3791">
        <v>44481.000497685185</v>
      </c>
      <c r="AD12" s="3791">
        <v>44495.000497685185</v>
      </c>
      <c r="AE12" s="3791">
        <v>44495.000497685185</v>
      </c>
      <c r="AF12" s="3790" t="s">
        <v>3586</v>
      </c>
      <c r="AG12" s="3790" t="s">
        <v>3499</v>
      </c>
      <c r="AH12" s="3790" t="s">
        <v>3587</v>
      </c>
      <c r="AI12" s="3790" t="s">
        <v>3496</v>
      </c>
      <c r="AJ12" s="3790" t="s">
        <v>3496</v>
      </c>
      <c r="AK12" s="3790" t="s">
        <v>3496</v>
      </c>
      <c r="AL12" s="3790">
        <v>115000</v>
      </c>
      <c r="AM12" s="3790">
        <v>23000</v>
      </c>
      <c r="AN12" s="3790" t="s">
        <v>3577</v>
      </c>
      <c r="AO12" s="3790">
        <v>115000</v>
      </c>
      <c r="AP12" s="3790">
        <v>45777.02</v>
      </c>
      <c r="AQ12" s="3790">
        <v>45777.02</v>
      </c>
      <c r="AR12" s="3790">
        <v>3051.8</v>
      </c>
      <c r="AS12" s="3790">
        <v>3051.8</v>
      </c>
      <c r="AT12" s="3790">
        <v>20808</v>
      </c>
      <c r="AU12" s="3790">
        <v>20808</v>
      </c>
      <c r="AV12" s="3790" t="s">
        <v>3496</v>
      </c>
      <c r="AW12" s="3790" t="s">
        <v>3496</v>
      </c>
      <c r="AX12" s="3790">
        <v>0</v>
      </c>
      <c r="AY12" s="3790" t="s">
        <v>3578</v>
      </c>
      <c r="AZ12" s="3790" t="s">
        <v>3496</v>
      </c>
      <c r="BA12" s="3790" t="s">
        <v>3496</v>
      </c>
      <c r="BB12" s="3790" t="s">
        <v>3496</v>
      </c>
      <c r="BC12" s="3790" t="s">
        <v>3496</v>
      </c>
      <c r="BD12" s="3790" t="s">
        <v>3496</v>
      </c>
      <c r="BE12" s="3790" t="s">
        <v>3496</v>
      </c>
      <c r="BF12" s="3790" t="s">
        <v>3496</v>
      </c>
      <c r="BG12" s="3790" t="s">
        <v>3579</v>
      </c>
      <c r="BH12" s="3790" t="s">
        <v>3507</v>
      </c>
      <c r="BI12" s="3790" t="s">
        <v>3508</v>
      </c>
    </row>
    <row r="13" spans="1:61">
      <c r="A13" s="3790" t="s">
        <v>3588</v>
      </c>
      <c r="B13" s="3790" t="s">
        <v>3380</v>
      </c>
      <c r="C13" s="3790" t="s">
        <v>3589</v>
      </c>
      <c r="D13" s="3790" t="s">
        <v>3486</v>
      </c>
      <c r="E13" s="3790" t="s">
        <v>3487</v>
      </c>
      <c r="F13" s="3790" t="s">
        <v>3590</v>
      </c>
      <c r="G13" s="3790" t="s">
        <v>3591</v>
      </c>
      <c r="H13" s="3790" t="s">
        <v>3490</v>
      </c>
      <c r="I13" s="3790">
        <v>51788.13</v>
      </c>
      <c r="J13" s="3790">
        <v>184800</v>
      </c>
      <c r="K13" s="3790" t="s">
        <v>3592</v>
      </c>
      <c r="L13" s="3790">
        <v>4.5</v>
      </c>
      <c r="M13" s="3790" t="s">
        <v>3492</v>
      </c>
      <c r="N13" s="3790" t="s">
        <v>3513</v>
      </c>
      <c r="O13" s="3790" t="s">
        <v>3526</v>
      </c>
      <c r="P13" s="3790" t="s">
        <v>3495</v>
      </c>
      <c r="Q13" s="3790" t="s">
        <v>3496</v>
      </c>
      <c r="R13" s="3790" t="s">
        <v>3496</v>
      </c>
      <c r="S13" s="3790" t="s">
        <v>3593</v>
      </c>
      <c r="T13" s="3790" t="s">
        <v>3496</v>
      </c>
      <c r="U13" s="3790" t="s">
        <v>3496</v>
      </c>
      <c r="V13" s="3790" t="s">
        <v>3496</v>
      </c>
      <c r="W13" s="3790" t="s">
        <v>3496</v>
      </c>
      <c r="X13" s="3790">
        <v>0</v>
      </c>
      <c r="Y13" s="3790">
        <v>0</v>
      </c>
      <c r="Z13" s="3790">
        <v>0</v>
      </c>
      <c r="AA13" s="3790">
        <v>0</v>
      </c>
      <c r="AB13" s="3791">
        <v>44133.000497685185</v>
      </c>
      <c r="AC13" s="3791">
        <v>44153.000497685185</v>
      </c>
      <c r="AD13" s="3791">
        <v>44167.000497685185</v>
      </c>
      <c r="AE13" s="3791">
        <v>44167.000497685185</v>
      </c>
      <c r="AF13" s="3790" t="s">
        <v>3594</v>
      </c>
      <c r="AG13" s="3790" t="s">
        <v>3499</v>
      </c>
      <c r="AH13" s="3790" t="s">
        <v>3595</v>
      </c>
      <c r="AI13" s="3790" t="s">
        <v>3596</v>
      </c>
      <c r="AJ13" s="3790" t="s">
        <v>3597</v>
      </c>
      <c r="AK13" s="3790" t="s">
        <v>3496</v>
      </c>
      <c r="AL13" s="3790">
        <v>570500</v>
      </c>
      <c r="AM13" s="3790">
        <v>115000</v>
      </c>
      <c r="AN13" s="3790" t="s">
        <v>3598</v>
      </c>
      <c r="AO13" s="3790">
        <v>579500</v>
      </c>
      <c r="AP13" s="3790">
        <v>110160.37</v>
      </c>
      <c r="AQ13" s="3790">
        <v>111898.23</v>
      </c>
      <c r="AR13" s="3790">
        <v>7344.03</v>
      </c>
      <c r="AS13" s="3790">
        <v>7459.88</v>
      </c>
      <c r="AT13" s="3790">
        <v>30871</v>
      </c>
      <c r="AU13" s="3790">
        <v>31358</v>
      </c>
      <c r="AV13" s="3790" t="s">
        <v>3496</v>
      </c>
      <c r="AW13" s="3790" t="s">
        <v>3496</v>
      </c>
      <c r="AX13" s="3790">
        <v>1.58</v>
      </c>
      <c r="AY13" s="3790" t="s">
        <v>3599</v>
      </c>
      <c r="AZ13" s="3790" t="s">
        <v>3496</v>
      </c>
      <c r="BA13" s="3790" t="s">
        <v>3496</v>
      </c>
      <c r="BB13" s="3790" t="s">
        <v>3496</v>
      </c>
      <c r="BC13" s="3790" t="s">
        <v>3496</v>
      </c>
      <c r="BD13" s="3790" t="s">
        <v>3496</v>
      </c>
      <c r="BE13" s="3790" t="s">
        <v>3496</v>
      </c>
      <c r="BF13" s="3790" t="s">
        <v>3496</v>
      </c>
      <c r="BG13" s="3790" t="s">
        <v>3579</v>
      </c>
      <c r="BH13" s="3790" t="s">
        <v>3507</v>
      </c>
      <c r="BI13" s="3790" t="s">
        <v>3508</v>
      </c>
    </row>
    <row r="14" spans="1:61">
      <c r="A14" s="3790" t="s">
        <v>3600</v>
      </c>
      <c r="B14" s="3790" t="s">
        <v>3380</v>
      </c>
      <c r="C14" s="3790" t="s">
        <v>3601</v>
      </c>
      <c r="D14" s="3790" t="s">
        <v>3486</v>
      </c>
      <c r="E14" s="3790" t="s">
        <v>3487</v>
      </c>
      <c r="F14" s="3790" t="s">
        <v>3511</v>
      </c>
      <c r="G14" s="3790" t="s">
        <v>3602</v>
      </c>
      <c r="H14" s="3790" t="s">
        <v>3490</v>
      </c>
      <c r="I14" s="3790">
        <v>70601.070000000007</v>
      </c>
      <c r="J14" s="3790">
        <v>285523</v>
      </c>
      <c r="K14" s="3790" t="s">
        <v>3603</v>
      </c>
      <c r="L14" s="3790">
        <v>4.04</v>
      </c>
      <c r="M14" s="3790" t="s">
        <v>3604</v>
      </c>
      <c r="N14" s="3790" t="s">
        <v>3513</v>
      </c>
      <c r="O14" s="3790" t="s">
        <v>3514</v>
      </c>
      <c r="P14" s="3790" t="s">
        <v>3495</v>
      </c>
      <c r="Q14" s="3790" t="s">
        <v>3496</v>
      </c>
      <c r="R14" s="3790" t="s">
        <v>3496</v>
      </c>
      <c r="S14" s="3790" t="s">
        <v>3496</v>
      </c>
      <c r="T14" s="3790" t="s">
        <v>3496</v>
      </c>
      <c r="U14" s="3790" t="s">
        <v>3496</v>
      </c>
      <c r="V14" s="3790" t="s">
        <v>3496</v>
      </c>
      <c r="W14" s="3790" t="s">
        <v>3496</v>
      </c>
      <c r="X14" s="3790">
        <v>0</v>
      </c>
      <c r="Y14" s="3790">
        <v>0</v>
      </c>
      <c r="Z14" s="3790">
        <v>0</v>
      </c>
      <c r="AA14" s="3790">
        <v>0</v>
      </c>
      <c r="AB14" s="3791">
        <v>43770.000497685185</v>
      </c>
      <c r="AC14" s="3791">
        <v>43798.000497685185</v>
      </c>
      <c r="AD14" s="3791">
        <v>43801.000497685185</v>
      </c>
      <c r="AE14" s="3791">
        <v>43801.000497685185</v>
      </c>
      <c r="AF14" s="3790" t="s">
        <v>3605</v>
      </c>
      <c r="AG14" s="3790" t="s">
        <v>3499</v>
      </c>
      <c r="AH14" s="3790" t="s">
        <v>3606</v>
      </c>
      <c r="AI14" s="3790" t="s">
        <v>3607</v>
      </c>
      <c r="AJ14" s="3790" t="s">
        <v>3597</v>
      </c>
      <c r="AK14" s="3790" t="s">
        <v>3496</v>
      </c>
      <c r="AL14" s="3790" t="s">
        <v>3496</v>
      </c>
      <c r="AM14" s="3790">
        <v>131000</v>
      </c>
      <c r="AN14" s="3790" t="s">
        <v>633</v>
      </c>
      <c r="AO14" s="3790">
        <v>660900</v>
      </c>
      <c r="AP14" s="3790" t="s">
        <v>3496</v>
      </c>
      <c r="AQ14" s="3790">
        <v>93610.48</v>
      </c>
      <c r="AR14" s="3790" t="s">
        <v>3496</v>
      </c>
      <c r="AS14" s="3790">
        <v>6240.7</v>
      </c>
      <c r="AT14" s="3790" t="s">
        <v>3496</v>
      </c>
      <c r="AU14" s="3790">
        <v>23147</v>
      </c>
      <c r="AV14" s="3790" t="s">
        <v>3496</v>
      </c>
      <c r="AW14" s="3790" t="s">
        <v>3496</v>
      </c>
      <c r="AX14" s="3790">
        <v>0</v>
      </c>
      <c r="AY14" s="3790" t="s">
        <v>3599</v>
      </c>
      <c r="AZ14" s="3790" t="s">
        <v>3496</v>
      </c>
      <c r="BA14" s="3790" t="s">
        <v>3496</v>
      </c>
      <c r="BB14" s="3790" t="s">
        <v>3496</v>
      </c>
      <c r="BC14" s="3790" t="s">
        <v>3496</v>
      </c>
      <c r="BD14" s="3790" t="s">
        <v>3496</v>
      </c>
      <c r="BE14" s="3790" t="s">
        <v>3496</v>
      </c>
      <c r="BF14" s="3790" t="s">
        <v>3496</v>
      </c>
      <c r="BG14" s="3790" t="s">
        <v>3579</v>
      </c>
      <c r="BH14" s="3790" t="s">
        <v>3507</v>
      </c>
      <c r="BI14" s="3790" t="s">
        <v>3508</v>
      </c>
    </row>
    <row r="15" spans="1:61">
      <c r="A15" s="3790" t="s">
        <v>3608</v>
      </c>
      <c r="B15" s="3790" t="s">
        <v>3380</v>
      </c>
      <c r="C15" s="3790" t="s">
        <v>3609</v>
      </c>
      <c r="D15" s="3790" t="s">
        <v>3486</v>
      </c>
      <c r="E15" s="3790" t="s">
        <v>3487</v>
      </c>
      <c r="F15" s="3790" t="s">
        <v>3610</v>
      </c>
      <c r="G15" s="3790" t="s">
        <v>3611</v>
      </c>
      <c r="H15" s="3790" t="s">
        <v>3490</v>
      </c>
      <c r="I15" s="3790">
        <v>22035.93</v>
      </c>
      <c r="J15" s="3790">
        <v>61700.6</v>
      </c>
      <c r="K15" s="3790" t="s">
        <v>3612</v>
      </c>
      <c r="L15" s="3790">
        <v>2.8</v>
      </c>
      <c r="M15" s="3790" t="s">
        <v>3492</v>
      </c>
      <c r="N15" s="3790" t="s">
        <v>3513</v>
      </c>
      <c r="O15" s="3790" t="s">
        <v>3526</v>
      </c>
      <c r="P15" s="3790" t="s">
        <v>3495</v>
      </c>
      <c r="Q15" s="3790" t="s">
        <v>3496</v>
      </c>
      <c r="R15" s="3790" t="s">
        <v>3613</v>
      </c>
      <c r="S15" s="3790" t="s">
        <v>3614</v>
      </c>
      <c r="T15" s="3790" t="s">
        <v>3496</v>
      </c>
      <c r="U15" s="3790" t="s">
        <v>3496</v>
      </c>
      <c r="V15" s="3790" t="s">
        <v>3496</v>
      </c>
      <c r="W15" s="3790" t="s">
        <v>3496</v>
      </c>
      <c r="X15" s="3790">
        <v>0</v>
      </c>
      <c r="Y15" s="3790">
        <v>0</v>
      </c>
      <c r="Z15" s="3790">
        <v>0</v>
      </c>
      <c r="AA15" s="3790">
        <v>0</v>
      </c>
      <c r="AB15" s="3791">
        <v>43616.000497685185</v>
      </c>
      <c r="AC15" s="3791">
        <v>43636.000497685185</v>
      </c>
      <c r="AD15" s="3791">
        <v>43650.000497685185</v>
      </c>
      <c r="AE15" s="3791">
        <v>43650.000497685185</v>
      </c>
      <c r="AF15" s="3790" t="s">
        <v>3615</v>
      </c>
      <c r="AG15" s="3790" t="s">
        <v>3499</v>
      </c>
      <c r="AH15" s="3790" t="s">
        <v>3616</v>
      </c>
      <c r="AI15" s="3790" t="s">
        <v>3617</v>
      </c>
      <c r="AJ15" s="3790" t="s">
        <v>3597</v>
      </c>
      <c r="AK15" s="3790" t="s">
        <v>3496</v>
      </c>
      <c r="AL15" s="3790">
        <v>103700</v>
      </c>
      <c r="AM15" s="3790">
        <v>21000</v>
      </c>
      <c r="AN15" s="3790" t="s">
        <v>633</v>
      </c>
      <c r="AO15" s="3790">
        <v>103700</v>
      </c>
      <c r="AP15" s="3790">
        <v>47059.5</v>
      </c>
      <c r="AQ15" s="3790">
        <v>47059.5</v>
      </c>
      <c r="AR15" s="3790">
        <v>3137.3</v>
      </c>
      <c r="AS15" s="3790">
        <v>3137.3</v>
      </c>
      <c r="AT15" s="3790">
        <v>16807</v>
      </c>
      <c r="AU15" s="3790">
        <v>16807</v>
      </c>
      <c r="AV15" s="3790" t="s">
        <v>3496</v>
      </c>
      <c r="AW15" s="3790" t="s">
        <v>3496</v>
      </c>
      <c r="AX15" s="3790">
        <v>0</v>
      </c>
      <c r="AY15" s="3790" t="s">
        <v>3599</v>
      </c>
      <c r="AZ15" s="3790" t="s">
        <v>3496</v>
      </c>
      <c r="BA15" s="3790" t="s">
        <v>3496</v>
      </c>
      <c r="BB15" s="3790" t="s">
        <v>3496</v>
      </c>
      <c r="BC15" s="3790" t="s">
        <v>3496</v>
      </c>
      <c r="BD15" s="3790" t="s">
        <v>3496</v>
      </c>
      <c r="BE15" s="3790" t="s">
        <v>3496</v>
      </c>
      <c r="BF15" s="3790" t="s">
        <v>3496</v>
      </c>
      <c r="BG15" s="3790" t="s">
        <v>3579</v>
      </c>
      <c r="BH15" s="3790" t="s">
        <v>3507</v>
      </c>
      <c r="BI15" s="3790" t="s">
        <v>3508</v>
      </c>
    </row>
    <row r="16" spans="1:61">
      <c r="A16" s="3790" t="s">
        <v>3618</v>
      </c>
      <c r="B16" s="3790" t="s">
        <v>3380</v>
      </c>
      <c r="C16" s="3790" t="s">
        <v>3619</v>
      </c>
      <c r="D16" s="3790" t="s">
        <v>3486</v>
      </c>
      <c r="E16" s="3790" t="s">
        <v>3487</v>
      </c>
      <c r="F16" s="3790" t="s">
        <v>3488</v>
      </c>
      <c r="G16" s="3790" t="s">
        <v>3489</v>
      </c>
      <c r="H16" s="3790" t="s">
        <v>3490</v>
      </c>
      <c r="I16" s="3790">
        <v>32158.94</v>
      </c>
      <c r="J16" s="3790">
        <v>96476.82</v>
      </c>
      <c r="K16" s="3790" t="s">
        <v>3620</v>
      </c>
      <c r="L16" s="3790">
        <v>3</v>
      </c>
      <c r="M16" s="3790" t="s">
        <v>3492</v>
      </c>
      <c r="N16" s="3790" t="s">
        <v>3621</v>
      </c>
      <c r="O16" s="3790" t="s">
        <v>3622</v>
      </c>
      <c r="P16" s="3790" t="s">
        <v>3495</v>
      </c>
      <c r="Q16" s="3790" t="s">
        <v>3496</v>
      </c>
      <c r="R16" s="3790" t="s">
        <v>3623</v>
      </c>
      <c r="S16" s="3790" t="s">
        <v>3624</v>
      </c>
      <c r="T16" s="3790" t="s">
        <v>3496</v>
      </c>
      <c r="U16" s="3790" t="s">
        <v>3496</v>
      </c>
      <c r="V16" s="3790" t="s">
        <v>3496</v>
      </c>
      <c r="W16" s="3790" t="s">
        <v>3496</v>
      </c>
      <c r="X16" s="3790">
        <v>0</v>
      </c>
      <c r="Y16" s="3790">
        <v>0</v>
      </c>
      <c r="Z16" s="3790">
        <v>0</v>
      </c>
      <c r="AA16" s="3790">
        <v>0</v>
      </c>
      <c r="AB16" s="3791">
        <v>43579.000497685185</v>
      </c>
      <c r="AC16" s="3791">
        <v>43599.000497685185</v>
      </c>
      <c r="AD16" s="3791">
        <v>43613.000497685185</v>
      </c>
      <c r="AE16" s="3791">
        <v>43613.000497685185</v>
      </c>
      <c r="AF16" s="3790" t="s">
        <v>3625</v>
      </c>
      <c r="AG16" s="3790" t="s">
        <v>3499</v>
      </c>
      <c r="AH16" s="3790" t="s">
        <v>3626</v>
      </c>
      <c r="AI16" s="3790" t="s">
        <v>3501</v>
      </c>
      <c r="AJ16" s="3790" t="s">
        <v>3502</v>
      </c>
      <c r="AK16" s="3790" t="s">
        <v>3503</v>
      </c>
      <c r="AL16" s="3790">
        <v>263800</v>
      </c>
      <c r="AM16" s="3790">
        <v>53000</v>
      </c>
      <c r="AN16" s="3790" t="s">
        <v>633</v>
      </c>
      <c r="AO16" s="3790">
        <v>263800</v>
      </c>
      <c r="AP16" s="3790">
        <v>82030.070000000007</v>
      </c>
      <c r="AQ16" s="3790">
        <v>82030.070000000007</v>
      </c>
      <c r="AR16" s="3790">
        <v>5468.67</v>
      </c>
      <c r="AS16" s="3790">
        <v>5468.67</v>
      </c>
      <c r="AT16" s="3790">
        <v>27343</v>
      </c>
      <c r="AU16" s="3790">
        <v>27343</v>
      </c>
      <c r="AV16" s="3790" t="s">
        <v>3496</v>
      </c>
      <c r="AW16" s="3790" t="s">
        <v>3496</v>
      </c>
      <c r="AX16" s="3790">
        <v>0</v>
      </c>
      <c r="AY16" s="3790" t="s">
        <v>3599</v>
      </c>
      <c r="AZ16" s="3790" t="s">
        <v>3496</v>
      </c>
      <c r="BA16" s="3790" t="s">
        <v>3496</v>
      </c>
      <c r="BB16" s="3790" t="s">
        <v>3496</v>
      </c>
      <c r="BC16" s="3790" t="s">
        <v>3496</v>
      </c>
      <c r="BD16" s="3790" t="s">
        <v>3496</v>
      </c>
      <c r="BE16" s="3790" t="s">
        <v>3496</v>
      </c>
      <c r="BF16" s="3790" t="s">
        <v>3496</v>
      </c>
      <c r="BG16" s="3790" t="s">
        <v>3579</v>
      </c>
      <c r="BH16" s="3790" t="s">
        <v>3507</v>
      </c>
      <c r="BI16" s="3790" t="s">
        <v>3508</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2"/>
      <c r="M4" s="2713"/>
      <c r="N4" s="2713"/>
      <c r="O4" s="2713"/>
      <c r="P4" s="3680" t="s">
        <v>1774</v>
      </c>
      <c r="Q4" s="3681"/>
      <c r="R4" s="3663" t="s">
        <v>1770</v>
      </c>
      <c r="S4" s="3664"/>
      <c r="T4" s="3663" t="s">
        <v>1771</v>
      </c>
      <c r="U4" s="3664"/>
      <c r="V4" s="3688" t="s">
        <v>1772</v>
      </c>
      <c r="W4" s="3688"/>
      <c r="X4" s="1355"/>
      <c r="Y4" s="3663" t="s">
        <v>1774</v>
      </c>
      <c r="Z4" s="3664"/>
      <c r="AA4" s="3658" t="s">
        <v>1770</v>
      </c>
      <c r="AB4" s="3659" t="s">
        <v>1771</v>
      </c>
      <c r="AC4" s="3658" t="s">
        <v>1772</v>
      </c>
    </row>
    <row r="5" spans="1:29" ht="15">
      <c r="A5" s="358"/>
      <c r="B5" s="359"/>
      <c r="C5" s="3669" t="s">
        <v>1672</v>
      </c>
      <c r="D5" s="3670"/>
      <c r="E5" s="3667" t="s">
        <v>1673</v>
      </c>
      <c r="F5" s="3668"/>
      <c r="G5" s="3669" t="s">
        <v>1674</v>
      </c>
      <c r="H5" s="3670"/>
      <c r="I5" s="3669" t="s">
        <v>1675</v>
      </c>
      <c r="J5" s="3670"/>
      <c r="K5" s="559"/>
      <c r="L5" s="2712"/>
      <c r="M5" s="2713"/>
      <c r="N5" s="2713"/>
      <c r="O5" s="2713"/>
      <c r="P5" s="3682"/>
      <c r="Q5" s="3683"/>
      <c r="R5" s="3665"/>
      <c r="S5" s="3666"/>
      <c r="T5" s="3665"/>
      <c r="U5" s="3666"/>
      <c r="V5" s="3688"/>
      <c r="W5" s="3688"/>
      <c r="X5" s="1355"/>
      <c r="Y5" s="3665"/>
      <c r="Z5" s="3666"/>
      <c r="AA5" s="3659"/>
      <c r="AB5" s="3659"/>
      <c r="AC5" s="3659"/>
    </row>
    <row r="6" spans="1:29" ht="15.75" thickBot="1">
      <c r="A6" s="360"/>
      <c r="B6" s="361"/>
      <c r="C6" s="3724" t="s">
        <v>1918</v>
      </c>
      <c r="D6" s="3725"/>
      <c r="E6" s="3726" t="s">
        <v>1918</v>
      </c>
      <c r="F6" s="3727"/>
      <c r="G6" s="3724" t="s">
        <v>1918</v>
      </c>
      <c r="H6" s="3725"/>
      <c r="I6" s="3724" t="s">
        <v>1918</v>
      </c>
      <c r="J6" s="3725"/>
      <c r="K6" s="559" t="s">
        <v>1677</v>
      </c>
      <c r="L6" s="2712"/>
      <c r="M6" s="2713"/>
      <c r="N6" s="2713"/>
      <c r="O6" s="2713"/>
      <c r="P6" s="3684"/>
      <c r="Q6" s="3685"/>
      <c r="R6" s="3665"/>
      <c r="S6" s="3666"/>
      <c r="T6" s="3686"/>
      <c r="U6" s="3687"/>
      <c r="V6" s="3688"/>
      <c r="W6" s="3688"/>
      <c r="X6" s="1355"/>
      <c r="Y6" s="3686"/>
      <c r="Z6" s="3687"/>
      <c r="AA6" s="3660"/>
      <c r="AB6" s="3660"/>
      <c r="AC6" s="3660"/>
    </row>
    <row r="7" spans="1:29" s="108" customFormat="1" ht="15.75" thickBot="1">
      <c r="A7" s="362" t="s">
        <v>1678</v>
      </c>
      <c r="B7" s="363"/>
      <c r="C7" s="364">
        <f>'数据-取费表'!B2</f>
        <v>45410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1" t="s">
        <v>1682</v>
      </c>
      <c r="Q8" s="3662"/>
      <c r="R8" s="701" t="s">
        <v>14</v>
      </c>
      <c r="S8" s="702">
        <f t="shared" si="0"/>
        <v>0</v>
      </c>
      <c r="T8" s="701" t="s">
        <v>14</v>
      </c>
      <c r="U8" s="702">
        <f t="shared" si="1"/>
        <v>0</v>
      </c>
      <c r="V8" s="701" t="s">
        <v>14</v>
      </c>
      <c r="W8" s="702">
        <f t="shared" si="2"/>
        <v>0</v>
      </c>
      <c r="X8" s="703"/>
      <c r="Y8" s="3661" t="s">
        <v>1682</v>
      </c>
      <c r="Z8" s="366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3" t="s">
        <v>1685</v>
      </c>
      <c r="Q9" s="1343" t="str">
        <f t="shared" ref="Q9:Q15" si="6">B9</f>
        <v>用途</v>
      </c>
      <c r="R9" s="701" t="s">
        <v>14</v>
      </c>
      <c r="S9" s="702">
        <f t="shared" si="0"/>
        <v>100</v>
      </c>
      <c r="T9" s="701" t="s">
        <v>14</v>
      </c>
      <c r="U9" s="702">
        <f t="shared" si="1"/>
        <v>100</v>
      </c>
      <c r="V9" s="701" t="s">
        <v>14</v>
      </c>
      <c r="W9" s="702">
        <f t="shared" si="2"/>
        <v>100</v>
      </c>
      <c r="X9" s="703"/>
      <c r="Y9" s="360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133</v>
      </c>
      <c r="G10" s="383"/>
      <c r="H10" s="127">
        <f>ROUND(100/'数据-取费表'!G16,0)</f>
        <v>133</v>
      </c>
      <c r="I10" s="383"/>
      <c r="J10" s="127">
        <f>ROUND(100/'数据-取费表'!G16,0)</f>
        <v>133</v>
      </c>
      <c r="K10" s="620"/>
      <c r="L10" s="2716"/>
      <c r="M10" s="2717"/>
      <c r="N10" s="2717"/>
      <c r="O10" s="2770"/>
      <c r="P10" s="3693"/>
      <c r="Q10" s="1343" t="str">
        <f t="shared" si="6"/>
        <v>土地使用年限（年）</v>
      </c>
      <c r="R10" s="701" t="s">
        <v>14</v>
      </c>
      <c r="S10" s="702">
        <f t="shared" si="0"/>
        <v>133</v>
      </c>
      <c r="T10" s="701" t="s">
        <v>14</v>
      </c>
      <c r="U10" s="702">
        <f t="shared" si="1"/>
        <v>133</v>
      </c>
      <c r="V10" s="701" t="s">
        <v>14</v>
      </c>
      <c r="W10" s="702">
        <f t="shared" si="2"/>
        <v>133</v>
      </c>
      <c r="X10" s="703"/>
      <c r="Y10" s="3605"/>
      <c r="Z10" s="52" t="str">
        <f t="shared" si="7"/>
        <v>土地使用年限（年）</v>
      </c>
      <c r="AA10" s="704">
        <f t="shared" si="3"/>
        <v>0.75187969924812026</v>
      </c>
      <c r="AB10" s="704">
        <f t="shared" si="4"/>
        <v>0.75187969924812026</v>
      </c>
      <c r="AC10" s="704">
        <f t="shared" si="5"/>
        <v>0.75187969924812026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3"/>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3"/>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3"/>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3"/>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6"/>
      <c r="Q16" s="1352"/>
      <c r="R16" s="705"/>
      <c r="S16" s="706"/>
      <c r="T16" s="705"/>
      <c r="U16" s="706"/>
      <c r="V16" s="705"/>
      <c r="W16" s="706"/>
      <c r="X16" s="1355"/>
      <c r="Y16" s="369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6"/>
      <c r="Q18" s="1352"/>
      <c r="R18" s="705"/>
      <c r="S18" s="706"/>
      <c r="T18" s="705"/>
      <c r="U18" s="706"/>
      <c r="V18" s="705"/>
      <c r="W18" s="706"/>
      <c r="X18" s="1355"/>
      <c r="Y18" s="369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6"/>
      <c r="Q20" s="1352"/>
      <c r="R20" s="705"/>
      <c r="S20" s="706"/>
      <c r="T20" s="705"/>
      <c r="U20" s="706"/>
      <c r="V20" s="705"/>
      <c r="W20" s="706"/>
      <c r="X20" s="1355"/>
      <c r="Y20" s="369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6"/>
      <c r="Q22" s="1352"/>
      <c r="R22" s="705"/>
      <c r="S22" s="706"/>
      <c r="T22" s="705"/>
      <c r="U22" s="706"/>
      <c r="V22" s="705"/>
      <c r="W22" s="706"/>
      <c r="X22" s="1355"/>
      <c r="Y22" s="369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6"/>
      <c r="Q24" s="1343"/>
      <c r="R24" s="701"/>
      <c r="S24" s="702"/>
      <c r="T24" s="701"/>
      <c r="U24" s="702"/>
      <c r="V24" s="701"/>
      <c r="W24" s="702"/>
      <c r="X24" s="703"/>
      <c r="Y24" s="369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6"/>
      <c r="Q26" s="1343"/>
      <c r="R26" s="701"/>
      <c r="S26" s="702"/>
      <c r="T26" s="701"/>
      <c r="U26" s="702"/>
      <c r="V26" s="701"/>
      <c r="W26" s="702"/>
      <c r="X26" s="703"/>
      <c r="Y26" s="369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6"/>
      <c r="Q29" s="1352"/>
      <c r="R29" s="705"/>
      <c r="S29" s="706"/>
      <c r="T29" s="705"/>
      <c r="U29" s="706"/>
      <c r="V29" s="705"/>
      <c r="W29" s="706"/>
      <c r="X29" s="1355"/>
      <c r="Y29" s="369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19" t="s">
        <v>1695</v>
      </c>
      <c r="Q32" s="1352">
        <f t="shared" si="8"/>
        <v>111</v>
      </c>
      <c r="R32" s="705" t="s">
        <v>14</v>
      </c>
      <c r="S32" s="706">
        <f t="shared" si="10"/>
        <v>100</v>
      </c>
      <c r="T32" s="705" t="s">
        <v>14</v>
      </c>
      <c r="U32" s="706">
        <f t="shared" si="11"/>
        <v>100</v>
      </c>
      <c r="V32" s="705" t="s">
        <v>14</v>
      </c>
      <c r="W32" s="706">
        <f t="shared" si="12"/>
        <v>100</v>
      </c>
      <c r="X32" s="1355"/>
      <c r="Y32" s="370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0" t="s">
        <v>1695</v>
      </c>
      <c r="Q37" s="1352" t="str">
        <f t="shared" si="14"/>
        <v>工程地质条件</v>
      </c>
      <c r="R37" s="705" t="s">
        <v>14</v>
      </c>
      <c r="S37" s="706">
        <f t="shared" si="10"/>
        <v>100</v>
      </c>
      <c r="T37" s="705" t="s">
        <v>14</v>
      </c>
      <c r="U37" s="706">
        <f t="shared" si="11"/>
        <v>100</v>
      </c>
      <c r="V37" s="705" t="s">
        <v>14</v>
      </c>
      <c r="W37" s="706">
        <f t="shared" si="12"/>
        <v>100</v>
      </c>
      <c r="X37" s="1355"/>
      <c r="Y37" s="370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693" t="str">
        <f>A41</f>
        <v>成交单价</v>
      </c>
      <c r="Q41" s="3693"/>
      <c r="R41" s="3688">
        <f>E41</f>
        <v>0</v>
      </c>
      <c r="S41" s="3688"/>
      <c r="T41" s="3688">
        <f>G41</f>
        <v>0</v>
      </c>
      <c r="U41" s="3688"/>
      <c r="V41" s="3688">
        <f>I41</f>
        <v>0</v>
      </c>
      <c r="W41" s="368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693" t="str">
        <f>A42</f>
        <v>比较价值（元/平方米）</v>
      </c>
      <c r="Q42" s="3693"/>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690" t="str">
        <f>A43</f>
        <v>估价对象XX用房的比较价值（楼面单价，元/平方米）</v>
      </c>
      <c r="Q43" s="3691"/>
      <c r="R43" s="3722" t="e">
        <f>ROUND(IF(D42="简单平均",AVERAGE(R42:W42),R42*F42+T42*H42+V42*J42),0)</f>
        <v>#DIV/0!</v>
      </c>
      <c r="S43" s="3722"/>
      <c r="T43" s="3722"/>
      <c r="U43" s="3722"/>
      <c r="V43" s="3722"/>
      <c r="W43" s="372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676" t="s">
        <v>1886</v>
      </c>
      <c r="H50" s="3723"/>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2933.24</v>
      </c>
      <c r="F51" s="639" t="e">
        <f t="shared" ref="F51:F60" si="15">ROUND(B51*E51/10000,0)</f>
        <v>#DIV/0!</v>
      </c>
      <c r="G51" s="3675"/>
      <c r="H51" s="369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四级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四级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四级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四级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2347.3000000000002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1" t="s">
        <v>2083</v>
      </c>
      <c r="D1" s="3732"/>
      <c r="E1" s="3732"/>
      <c r="F1" s="3732"/>
      <c r="G1" s="3732"/>
      <c r="H1" s="3732"/>
      <c r="I1" s="3732"/>
      <c r="J1" s="3732"/>
      <c r="K1" s="3732"/>
      <c r="L1" s="3732"/>
      <c r="M1" s="3732"/>
      <c r="N1" s="3732"/>
      <c r="O1" s="3732"/>
      <c r="P1" s="3732"/>
      <c r="Q1" s="3732"/>
      <c r="R1" s="3732"/>
      <c r="S1" s="373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599">
        <f ca="1">SUMIF(B6:B13,"&lt;&gt;#ref!",B6:B13)</f>
        <v>15256</v>
      </c>
      <c r="C2" s="2145" t="s">
        <v>2073</v>
      </c>
      <c r="D2" s="2145" t="s">
        <v>2074</v>
      </c>
      <c r="E2" s="2609">
        <f ca="1">SUMIF(E6:E13,"&lt;&gt;#ref!",E6:E13)</f>
        <v>21318.1</v>
      </c>
      <c r="F2" s="2790"/>
      <c r="G2" s="2790"/>
      <c r="H2" s="2790"/>
      <c r="I2" s="2790"/>
      <c r="J2" s="2790"/>
      <c r="K2" s="2790"/>
      <c r="L2" s="2790"/>
      <c r="M2" s="2790"/>
      <c r="N2" s="2790"/>
      <c r="O2" s="2790"/>
      <c r="P2" s="2790"/>
    </row>
    <row r="3" spans="1:16" ht="15.75">
      <c r="A3" s="2145" t="s">
        <v>2075</v>
      </c>
      <c r="B3" s="2599">
        <f ca="1">ROUND(B2*10000/E2,0)</f>
        <v>7156</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6"/>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15256</v>
      </c>
      <c r="C6" s="2145" t="s">
        <v>2073</v>
      </c>
      <c r="D6" s="2790"/>
      <c r="E6" s="2609">
        <f ca="1">SUMIF(INDIRECT("'"&amp;A6&amp;"'"&amp;"!C:C"),"建筑面积",INDIRECT("'"&amp;A6&amp;"'"&amp;"!D:D"))</f>
        <v>21318.1</v>
      </c>
      <c r="F6" s="2790"/>
      <c r="G6" s="2790"/>
      <c r="H6" s="2790"/>
      <c r="I6" s="2790"/>
      <c r="J6" s="2790"/>
      <c r="K6" s="2790"/>
      <c r="L6" s="2790"/>
      <c r="M6" s="2790"/>
      <c r="N6" s="2790"/>
      <c r="O6" s="2790"/>
      <c r="P6" s="2790"/>
    </row>
    <row r="7" spans="1:16" ht="15.75">
      <c r="A7" s="2606"/>
      <c r="B7" s="2599" t="e">
        <f ca="1">SUMIF(INDIRECT("'"&amp;A7&amp;"'"&amp;"!A:A"),"总价",INDIRECT("'"&amp;A7&amp;"'"&amp;"!B:B"))</f>
        <v>#REF!</v>
      </c>
      <c r="C7" s="2145"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60" t="s">
        <v>2605</v>
      </c>
      <c r="B20" s="3753" t="s">
        <v>2626</v>
      </c>
      <c r="C20" s="3100" t="s">
        <v>2437</v>
      </c>
      <c r="D20" s="3101"/>
      <c r="E20" s="3102">
        <v>1</v>
      </c>
      <c r="F20" s="3103" t="s">
        <v>2438</v>
      </c>
      <c r="G20" s="3103"/>
    </row>
    <row r="21" spans="1:13" ht="19.5" customHeight="1">
      <c r="A21" s="3761"/>
      <c r="B21" s="3754"/>
      <c r="C21" s="3104" t="s">
        <v>2439</v>
      </c>
      <c r="D21" s="3105"/>
      <c r="E21" s="3106">
        <v>1</v>
      </c>
      <c r="F21" s="3103" t="s">
        <v>2440</v>
      </c>
      <c r="G21" s="3103"/>
    </row>
    <row r="22" spans="1:13" ht="19.5" customHeight="1">
      <c r="A22" s="3761"/>
      <c r="B22" s="3754"/>
      <c r="C22" s="3104" t="s">
        <v>2441</v>
      </c>
      <c r="D22" s="3105"/>
      <c r="E22" s="3106">
        <v>0.9</v>
      </c>
      <c r="F22" s="3103" t="s">
        <v>2442</v>
      </c>
      <c r="G22" s="3103"/>
    </row>
    <row r="23" spans="1:13" ht="19.5" customHeight="1">
      <c r="A23" s="3761"/>
      <c r="B23" s="3754"/>
      <c r="C23" s="3104" t="s">
        <v>2443</v>
      </c>
      <c r="D23" s="3105"/>
      <c r="E23" s="3106">
        <v>0.9</v>
      </c>
      <c r="F23" s="3103" t="s">
        <v>2444</v>
      </c>
      <c r="G23" s="3103"/>
    </row>
    <row r="24" spans="1:13" ht="19.5" customHeight="1">
      <c r="A24" s="3761"/>
      <c r="B24" s="3754"/>
      <c r="C24" s="3104" t="s">
        <v>2445</v>
      </c>
      <c r="D24" s="3105"/>
      <c r="E24" s="3106">
        <v>0.8</v>
      </c>
      <c r="F24" s="3103" t="s">
        <v>2446</v>
      </c>
      <c r="G24" s="3103"/>
    </row>
    <row r="25" spans="1:13" ht="19.5" customHeight="1" thickBot="1">
      <c r="A25" s="3762"/>
      <c r="B25" s="3755"/>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56" t="s">
        <v>2629</v>
      </c>
      <c r="B27" s="3753" t="s">
        <v>2610</v>
      </c>
      <c r="C27" s="3100" t="s">
        <v>2450</v>
      </c>
      <c r="D27" s="3101"/>
      <c r="E27" s="3102">
        <v>1</v>
      </c>
      <c r="F27" s="3103" t="s">
        <v>2451</v>
      </c>
      <c r="G27" s="3103"/>
    </row>
    <row r="28" spans="1:13" ht="19.5" customHeight="1">
      <c r="A28" s="3757"/>
      <c r="B28" s="3754"/>
      <c r="C28" s="3104" t="s">
        <v>2452</v>
      </c>
      <c r="D28" s="3105"/>
      <c r="E28" s="3106">
        <v>1</v>
      </c>
      <c r="F28" s="3103" t="s">
        <v>2453</v>
      </c>
      <c r="G28" s="3103"/>
    </row>
    <row r="29" spans="1:13" ht="19.5" customHeight="1">
      <c r="A29" s="3757"/>
      <c r="B29" s="3754"/>
      <c r="C29" s="3104" t="s">
        <v>2454</v>
      </c>
      <c r="D29" s="3105"/>
      <c r="E29" s="3106">
        <v>0.8</v>
      </c>
      <c r="F29" s="3103" t="s">
        <v>2455</v>
      </c>
      <c r="G29" s="3103"/>
    </row>
    <row r="30" spans="1:13" ht="19.5" customHeight="1">
      <c r="A30" s="3757"/>
      <c r="B30" s="3754"/>
      <c r="C30" s="3104" t="s">
        <v>2456</v>
      </c>
      <c r="D30" s="3105"/>
      <c r="E30" s="3106">
        <v>0.8</v>
      </c>
      <c r="F30" s="3103" t="s">
        <v>2457</v>
      </c>
      <c r="G30" s="3103"/>
    </row>
    <row r="31" spans="1:13" ht="19.5" customHeight="1">
      <c r="A31" s="3757"/>
      <c r="B31" s="3754"/>
      <c r="C31" s="3104" t="s">
        <v>2458</v>
      </c>
      <c r="D31" s="3105"/>
      <c r="E31" s="3106">
        <v>0.8</v>
      </c>
      <c r="F31" s="3103" t="s">
        <v>2459</v>
      </c>
      <c r="G31" s="3103"/>
    </row>
    <row r="32" spans="1:13" ht="19.5" customHeight="1">
      <c r="A32" s="3757"/>
      <c r="B32" s="3754"/>
      <c r="C32" s="3104" t="s">
        <v>2460</v>
      </c>
      <c r="D32" s="3105"/>
      <c r="E32" s="3106">
        <v>0.7</v>
      </c>
      <c r="F32" s="3103" t="s">
        <v>2461</v>
      </c>
      <c r="G32" s="3103"/>
    </row>
    <row r="33" spans="1:7" ht="19.5" customHeight="1">
      <c r="A33" s="3757"/>
      <c r="B33" s="3754"/>
      <c r="C33" s="3104" t="s">
        <v>2462</v>
      </c>
      <c r="D33" s="3105"/>
      <c r="E33" s="3106">
        <v>0.8</v>
      </c>
      <c r="F33" s="3103" t="s">
        <v>2463</v>
      </c>
      <c r="G33" s="3103"/>
    </row>
    <row r="34" spans="1:7" ht="19.5" customHeight="1">
      <c r="A34" s="3757"/>
      <c r="B34" s="3754"/>
      <c r="C34" s="3104" t="s">
        <v>2464</v>
      </c>
      <c r="D34" s="3105"/>
      <c r="E34" s="3106">
        <v>0.6</v>
      </c>
      <c r="F34" s="3103" t="s">
        <v>2465</v>
      </c>
      <c r="G34" s="3103"/>
    </row>
    <row r="35" spans="1:7" ht="19.5" customHeight="1">
      <c r="A35" s="3757"/>
      <c r="B35" s="3754"/>
      <c r="C35" s="3104" t="s">
        <v>2466</v>
      </c>
      <c r="D35" s="3105"/>
      <c r="E35" s="3106">
        <v>0.2</v>
      </c>
      <c r="F35" s="3103" t="s">
        <v>2467</v>
      </c>
      <c r="G35" s="3103"/>
    </row>
    <row r="36" spans="1:7" ht="19.5" customHeight="1">
      <c r="A36" s="3757"/>
      <c r="B36" s="3754"/>
      <c r="C36" s="3104" t="s">
        <v>2468</v>
      </c>
      <c r="D36" s="3105"/>
      <c r="E36" s="3106">
        <v>0.2</v>
      </c>
      <c r="F36" s="3103" t="s">
        <v>2469</v>
      </c>
      <c r="G36" s="3103"/>
    </row>
    <row r="37" spans="1:7" ht="19.5" customHeight="1">
      <c r="A37" s="3757"/>
      <c r="B37" s="3759" t="s">
        <v>2630</v>
      </c>
      <c r="C37" s="3104" t="s">
        <v>2470</v>
      </c>
      <c r="D37" s="3105"/>
      <c r="E37" s="3106">
        <v>0.6</v>
      </c>
      <c r="F37" s="3103" t="s">
        <v>2471</v>
      </c>
      <c r="G37" s="3103"/>
    </row>
    <row r="38" spans="1:7" ht="19.5" customHeight="1">
      <c r="A38" s="3757"/>
      <c r="B38" s="3754"/>
      <c r="C38" s="3104" t="s">
        <v>2472</v>
      </c>
      <c r="D38" s="3105"/>
      <c r="E38" s="3106">
        <v>0.6</v>
      </c>
      <c r="F38" s="3103" t="s">
        <v>2473</v>
      </c>
      <c r="G38" s="3103"/>
    </row>
    <row r="39" spans="1:7" ht="19.5" customHeight="1" thickBot="1">
      <c r="A39" s="3758"/>
      <c r="B39" s="3755"/>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60" t="s">
        <v>2608</v>
      </c>
      <c r="B41" s="3753" t="s">
        <v>2632</v>
      </c>
      <c r="C41" s="3100" t="s">
        <v>2477</v>
      </c>
      <c r="D41" s="3101"/>
      <c r="E41" s="3102">
        <v>1</v>
      </c>
      <c r="F41" s="3103" t="s">
        <v>2478</v>
      </c>
      <c r="G41" s="3103"/>
    </row>
    <row r="42" spans="1:7" ht="19.5" customHeight="1">
      <c r="A42" s="3761"/>
      <c r="B42" s="3754"/>
      <c r="C42" s="3104" t="s">
        <v>2479</v>
      </c>
      <c r="D42" s="3105"/>
      <c r="E42" s="3106">
        <v>1</v>
      </c>
      <c r="F42" s="3103" t="s">
        <v>2480</v>
      </c>
      <c r="G42" s="3103"/>
    </row>
    <row r="43" spans="1:7" ht="19.5" customHeight="1">
      <c r="A43" s="3761"/>
      <c r="B43" s="3763"/>
      <c r="C43" s="3104" t="s">
        <v>2481</v>
      </c>
      <c r="D43" s="3105"/>
      <c r="E43" s="3106">
        <v>1.5</v>
      </c>
      <c r="F43" s="3103" t="s">
        <v>2482</v>
      </c>
      <c r="G43" s="3103"/>
    </row>
    <row r="44" spans="1:7" ht="19.5" customHeight="1">
      <c r="A44" s="3761"/>
      <c r="B44" s="3115" t="s">
        <v>2633</v>
      </c>
      <c r="C44" s="3104" t="s">
        <v>2634</v>
      </c>
      <c r="D44" s="3105"/>
      <c r="E44" s="3106">
        <v>2</v>
      </c>
      <c r="F44" s="3103" t="s">
        <v>2483</v>
      </c>
      <c r="G44" s="3103"/>
    </row>
    <row r="45" spans="1:7" ht="19.5" customHeight="1">
      <c r="A45" s="3761"/>
      <c r="B45" s="3759" t="s">
        <v>2635</v>
      </c>
      <c r="C45" s="3104" t="s">
        <v>2484</v>
      </c>
      <c r="D45" s="3105"/>
      <c r="E45" s="3106">
        <v>1</v>
      </c>
      <c r="F45" s="3103" t="s">
        <v>2485</v>
      </c>
      <c r="G45" s="3103"/>
    </row>
    <row r="46" spans="1:7" ht="19.5" customHeight="1">
      <c r="A46" s="3761"/>
      <c r="B46" s="3754"/>
      <c r="C46" s="3104" t="s">
        <v>2486</v>
      </c>
      <c r="D46" s="3105"/>
      <c r="E46" s="3106">
        <v>1</v>
      </c>
      <c r="F46" s="3103" t="s">
        <v>2487</v>
      </c>
      <c r="G46" s="3103"/>
    </row>
    <row r="47" spans="1:7" ht="19.5" customHeight="1">
      <c r="A47" s="3761"/>
      <c r="B47" s="3754"/>
      <c r="C47" s="3104" t="s">
        <v>2488</v>
      </c>
      <c r="D47" s="3105"/>
      <c r="E47" s="3106">
        <v>1</v>
      </c>
      <c r="F47" s="3103" t="s">
        <v>2489</v>
      </c>
      <c r="G47" s="3103"/>
    </row>
    <row r="48" spans="1:7" ht="19.5" customHeight="1">
      <c r="A48" s="3761"/>
      <c r="B48" s="3754"/>
      <c r="C48" s="3104" t="s">
        <v>2490</v>
      </c>
      <c r="D48" s="3105"/>
      <c r="E48" s="3106">
        <v>1</v>
      </c>
      <c r="F48" s="3103" t="s">
        <v>2491</v>
      </c>
      <c r="G48" s="3103"/>
    </row>
    <row r="49" spans="1:7" ht="19.5" customHeight="1">
      <c r="A49" s="3761"/>
      <c r="B49" s="3754"/>
      <c r="C49" s="3104" t="s">
        <v>2492</v>
      </c>
      <c r="D49" s="3105"/>
      <c r="E49" s="3106">
        <v>1</v>
      </c>
      <c r="F49" s="3103" t="s">
        <v>2493</v>
      </c>
      <c r="G49" s="3103"/>
    </row>
    <row r="50" spans="1:7" ht="19.5" customHeight="1">
      <c r="A50" s="3761"/>
      <c r="B50" s="3754"/>
      <c r="C50" s="3104" t="s">
        <v>2494</v>
      </c>
      <c r="D50" s="3105"/>
      <c r="E50" s="3106">
        <v>1</v>
      </c>
      <c r="F50" s="3103" t="s">
        <v>2495</v>
      </c>
      <c r="G50" s="3103"/>
    </row>
    <row r="51" spans="1:7" ht="19.5" customHeight="1" thickBot="1">
      <c r="A51" s="3762"/>
      <c r="B51" s="3755"/>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59" t="s">
        <v>2649</v>
      </c>
      <c r="C73" s="3089" t="s">
        <v>2650</v>
      </c>
      <c r="D73" s="3089" t="s">
        <v>2651</v>
      </c>
      <c r="E73" s="3115">
        <v>0.2</v>
      </c>
      <c r="F73" s="3115">
        <v>25</v>
      </c>
    </row>
    <row r="74" spans="1:7" ht="24">
      <c r="A74" s="3115">
        <v>2</v>
      </c>
      <c r="B74" s="3754"/>
      <c r="C74" s="3089" t="s">
        <v>2652</v>
      </c>
      <c r="D74" s="3089" t="s">
        <v>2653</v>
      </c>
      <c r="E74" s="3115">
        <v>0.2</v>
      </c>
      <c r="F74" s="3115">
        <v>25</v>
      </c>
    </row>
    <row r="75" spans="1:7" ht="24">
      <c r="A75" s="3115">
        <v>3</v>
      </c>
      <c r="B75" s="3754"/>
      <c r="C75" s="3089" t="s">
        <v>2654</v>
      </c>
      <c r="D75" s="3089" t="s">
        <v>2655</v>
      </c>
      <c r="E75" s="3115">
        <v>0.2</v>
      </c>
      <c r="F75" s="3115">
        <v>25</v>
      </c>
    </row>
    <row r="76" spans="1:7" ht="13.5">
      <c r="A76" s="3115">
        <v>4</v>
      </c>
      <c r="B76" s="3754"/>
      <c r="C76" s="3089" t="s">
        <v>2656</v>
      </c>
      <c r="D76" s="3089" t="s">
        <v>2657</v>
      </c>
      <c r="E76" s="3115">
        <v>0.15</v>
      </c>
      <c r="F76" s="3115">
        <v>20</v>
      </c>
    </row>
    <row r="77" spans="1:7" ht="24">
      <c r="A77" s="3115">
        <v>5</v>
      </c>
      <c r="B77" s="3754"/>
      <c r="C77" s="3089" t="s">
        <v>2658</v>
      </c>
      <c r="D77" s="3089" t="s">
        <v>2659</v>
      </c>
      <c r="E77" s="3115">
        <v>0.15</v>
      </c>
      <c r="F77" s="3115">
        <v>20</v>
      </c>
    </row>
    <row r="78" spans="1:7" ht="24">
      <c r="A78" s="3115">
        <v>6</v>
      </c>
      <c r="B78" s="3754"/>
      <c r="C78" s="3089" t="s">
        <v>2660</v>
      </c>
      <c r="D78" s="3089" t="s">
        <v>2661</v>
      </c>
      <c r="E78" s="3115">
        <v>0.15</v>
      </c>
      <c r="F78" s="3115">
        <v>20</v>
      </c>
    </row>
    <row r="79" spans="1:7" ht="24">
      <c r="A79" s="3115">
        <v>7</v>
      </c>
      <c r="B79" s="3754"/>
      <c r="C79" s="3089" t="s">
        <v>2662</v>
      </c>
      <c r="D79" s="3089" t="s">
        <v>2663</v>
      </c>
      <c r="E79" s="3115">
        <v>0.15</v>
      </c>
      <c r="F79" s="3115">
        <v>20</v>
      </c>
    </row>
    <row r="80" spans="1:7" ht="24">
      <c r="A80" s="3115">
        <v>8</v>
      </c>
      <c r="B80" s="3754"/>
      <c r="C80" s="3089" t="s">
        <v>2664</v>
      </c>
      <c r="D80" s="3089" t="s">
        <v>2665</v>
      </c>
      <c r="E80" s="3115">
        <v>0.1</v>
      </c>
      <c r="F80" s="3115">
        <v>15</v>
      </c>
    </row>
    <row r="81" spans="1:6" ht="24">
      <c r="A81" s="3115">
        <v>9</v>
      </c>
      <c r="B81" s="3754"/>
      <c r="C81" s="3089" t="s">
        <v>2666</v>
      </c>
      <c r="D81" s="3089" t="s">
        <v>2667</v>
      </c>
      <c r="E81" s="3115">
        <v>0.1</v>
      </c>
      <c r="F81" s="3115">
        <v>15</v>
      </c>
    </row>
    <row r="82" spans="1:6" ht="24">
      <c r="A82" s="3115">
        <v>10</v>
      </c>
      <c r="B82" s="3754"/>
      <c r="C82" s="3089" t="s">
        <v>2668</v>
      </c>
      <c r="D82" s="3089" t="s">
        <v>2669</v>
      </c>
      <c r="E82" s="3115">
        <v>0.1</v>
      </c>
      <c r="F82" s="3115">
        <v>15</v>
      </c>
    </row>
    <row r="83" spans="1:6" ht="24">
      <c r="A83" s="3115">
        <v>11</v>
      </c>
      <c r="B83" s="3754"/>
      <c r="C83" s="3089" t="s">
        <v>2670</v>
      </c>
      <c r="D83" s="3089" t="s">
        <v>2671</v>
      </c>
      <c r="E83" s="3115">
        <v>0.1</v>
      </c>
      <c r="F83" s="3115">
        <v>15</v>
      </c>
    </row>
    <row r="84" spans="1:6" ht="24">
      <c r="A84" s="3115">
        <v>12</v>
      </c>
      <c r="B84" s="3754"/>
      <c r="C84" s="3089" t="s">
        <v>2672</v>
      </c>
      <c r="D84" s="3089" t="s">
        <v>2673</v>
      </c>
      <c r="E84" s="3115">
        <v>0.1</v>
      </c>
      <c r="F84" s="3115">
        <v>15</v>
      </c>
    </row>
    <row r="85" spans="1:6" ht="13.5">
      <c r="A85" s="3115">
        <v>13</v>
      </c>
      <c r="B85" s="3754"/>
      <c r="C85" s="3089" t="s">
        <v>2674</v>
      </c>
      <c r="D85" s="3089" t="s">
        <v>2675</v>
      </c>
      <c r="E85" s="3115">
        <v>0.1</v>
      </c>
      <c r="F85" s="3115">
        <v>15</v>
      </c>
    </row>
    <row r="86" spans="1:6" ht="13.5">
      <c r="A86" s="3115">
        <v>14</v>
      </c>
      <c r="B86" s="3754"/>
      <c r="C86" s="3089" t="s">
        <v>2676</v>
      </c>
      <c r="D86" s="3089" t="s">
        <v>2677</v>
      </c>
      <c r="E86" s="3115">
        <v>0.1</v>
      </c>
      <c r="F86" s="3115">
        <v>15</v>
      </c>
    </row>
    <row r="87" spans="1:6" ht="13.5">
      <c r="A87" s="3115">
        <v>15</v>
      </c>
      <c r="B87" s="3754"/>
      <c r="C87" s="3089" t="s">
        <v>2678</v>
      </c>
      <c r="D87" s="3089" t="s">
        <v>2679</v>
      </c>
      <c r="E87" s="3115">
        <v>0.1</v>
      </c>
      <c r="F87" s="3115">
        <v>15</v>
      </c>
    </row>
    <row r="88" spans="1:6" ht="24">
      <c r="A88" s="3115">
        <v>16</v>
      </c>
      <c r="B88" s="3754"/>
      <c r="C88" s="3089" t="s">
        <v>2680</v>
      </c>
      <c r="D88" s="3089" t="s">
        <v>2681</v>
      </c>
      <c r="E88" s="3115">
        <v>0.1</v>
      </c>
      <c r="F88" s="3115">
        <v>15</v>
      </c>
    </row>
    <row r="89" spans="1:6" ht="24">
      <c r="A89" s="3115">
        <v>17</v>
      </c>
      <c r="B89" s="3763"/>
      <c r="C89" s="3089" t="s">
        <v>2682</v>
      </c>
      <c r="D89" s="3089" t="s">
        <v>2683</v>
      </c>
      <c r="E89" s="3115">
        <v>0.1</v>
      </c>
      <c r="F89" s="3115">
        <v>15</v>
      </c>
    </row>
    <row r="90" spans="1:6" ht="13.5">
      <c r="A90" s="3115">
        <v>18</v>
      </c>
      <c r="B90" s="3759" t="s">
        <v>2684</v>
      </c>
      <c r="C90" s="3089" t="s">
        <v>2685</v>
      </c>
      <c r="D90" s="3089" t="s">
        <v>2686</v>
      </c>
      <c r="E90" s="3115">
        <v>0.2</v>
      </c>
      <c r="F90" s="3115">
        <v>25</v>
      </c>
    </row>
    <row r="91" spans="1:6" ht="24">
      <c r="A91" s="3115">
        <v>19</v>
      </c>
      <c r="B91" s="3754"/>
      <c r="C91" s="3089" t="s">
        <v>2687</v>
      </c>
      <c r="D91" s="3089" t="s">
        <v>2688</v>
      </c>
      <c r="E91" s="3115">
        <v>0.2</v>
      </c>
      <c r="F91" s="3115">
        <v>25</v>
      </c>
    </row>
    <row r="92" spans="1:6" ht="13.5">
      <c r="A92" s="3115">
        <v>20</v>
      </c>
      <c r="B92" s="3754"/>
      <c r="C92" s="3089" t="s">
        <v>2689</v>
      </c>
      <c r="D92" s="3089" t="s">
        <v>2690</v>
      </c>
      <c r="E92" s="3115">
        <v>0.15</v>
      </c>
      <c r="F92" s="3115">
        <v>20</v>
      </c>
    </row>
    <row r="93" spans="1:6" ht="13.5">
      <c r="A93" s="3115">
        <v>21</v>
      </c>
      <c r="B93" s="3754"/>
      <c r="C93" s="3089" t="s">
        <v>2691</v>
      </c>
      <c r="D93" s="3089" t="s">
        <v>2692</v>
      </c>
      <c r="E93" s="3115">
        <v>0.15</v>
      </c>
      <c r="F93" s="3115">
        <v>20</v>
      </c>
    </row>
    <row r="94" spans="1:6" ht="13.5">
      <c r="A94" s="3115">
        <v>22</v>
      </c>
      <c r="B94" s="3754"/>
      <c r="C94" s="3089" t="s">
        <v>2693</v>
      </c>
      <c r="D94" s="3089" t="s">
        <v>2694</v>
      </c>
      <c r="E94" s="3115">
        <v>0.15</v>
      </c>
      <c r="F94" s="3115">
        <v>20</v>
      </c>
    </row>
    <row r="95" spans="1:6" ht="36">
      <c r="A95" s="3115">
        <v>23</v>
      </c>
      <c r="B95" s="3754"/>
      <c r="C95" s="3089" t="s">
        <v>2695</v>
      </c>
      <c r="D95" s="3089" t="s">
        <v>2696</v>
      </c>
      <c r="E95" s="3115">
        <v>0.15</v>
      </c>
      <c r="F95" s="3115">
        <v>20</v>
      </c>
    </row>
    <row r="96" spans="1:6" ht="13.5">
      <c r="A96" s="3115">
        <v>24</v>
      </c>
      <c r="B96" s="3754"/>
      <c r="C96" s="3089" t="s">
        <v>2697</v>
      </c>
      <c r="D96" s="3089" t="s">
        <v>2698</v>
      </c>
      <c r="E96" s="3115">
        <v>0.1</v>
      </c>
      <c r="F96" s="3115">
        <v>15</v>
      </c>
    </row>
    <row r="97" spans="1:6" ht="13.5">
      <c r="A97" s="3115">
        <v>25</v>
      </c>
      <c r="B97" s="3754"/>
      <c r="C97" s="3089" t="s">
        <v>2699</v>
      </c>
      <c r="D97" s="3089" t="s">
        <v>2700</v>
      </c>
      <c r="E97" s="3115">
        <v>0.1</v>
      </c>
      <c r="F97" s="3115">
        <v>15</v>
      </c>
    </row>
    <row r="98" spans="1:6" ht="24">
      <c r="A98" s="3115">
        <v>26</v>
      </c>
      <c r="B98" s="3754"/>
      <c r="C98" s="3089" t="s">
        <v>2701</v>
      </c>
      <c r="D98" s="3089" t="s">
        <v>2702</v>
      </c>
      <c r="E98" s="3115">
        <v>0.1</v>
      </c>
      <c r="F98" s="3115">
        <v>15</v>
      </c>
    </row>
    <row r="99" spans="1:6" ht="24">
      <c r="A99" s="3115">
        <v>27</v>
      </c>
      <c r="B99" s="3754"/>
      <c r="C99" s="3089" t="s">
        <v>2703</v>
      </c>
      <c r="D99" s="3089" t="s">
        <v>2704</v>
      </c>
      <c r="E99" s="3115">
        <v>0.1</v>
      </c>
      <c r="F99" s="3115">
        <v>15</v>
      </c>
    </row>
    <row r="100" spans="1:6" ht="13.5">
      <c r="A100" s="3115">
        <v>28</v>
      </c>
      <c r="B100" s="3754"/>
      <c r="C100" s="3089" t="s">
        <v>2705</v>
      </c>
      <c r="D100" s="3089" t="s">
        <v>2706</v>
      </c>
      <c r="E100" s="3115">
        <v>0.1</v>
      </c>
      <c r="F100" s="3115">
        <v>15</v>
      </c>
    </row>
    <row r="101" spans="1:6" ht="13.5">
      <c r="A101" s="3115">
        <v>29</v>
      </c>
      <c r="B101" s="3754"/>
      <c r="C101" s="3089" t="s">
        <v>2707</v>
      </c>
      <c r="D101" s="3089" t="s">
        <v>2708</v>
      </c>
      <c r="E101" s="3115">
        <v>0.1</v>
      </c>
      <c r="F101" s="3115">
        <v>15</v>
      </c>
    </row>
    <row r="102" spans="1:6" ht="13.5">
      <c r="A102" s="3115">
        <v>30</v>
      </c>
      <c r="B102" s="3754"/>
      <c r="C102" s="3089" t="s">
        <v>2709</v>
      </c>
      <c r="D102" s="3089" t="s">
        <v>2710</v>
      </c>
      <c r="E102" s="3115">
        <v>0.1</v>
      </c>
      <c r="F102" s="3115">
        <v>15</v>
      </c>
    </row>
    <row r="103" spans="1:6" ht="24">
      <c r="A103" s="3115">
        <v>31</v>
      </c>
      <c r="B103" s="3754"/>
      <c r="C103" s="3089" t="s">
        <v>2711</v>
      </c>
      <c r="D103" s="3089" t="s">
        <v>2712</v>
      </c>
      <c r="E103" s="3115">
        <v>0.1</v>
      </c>
      <c r="F103" s="3115">
        <v>15</v>
      </c>
    </row>
    <row r="104" spans="1:6" ht="24">
      <c r="A104" s="3115">
        <v>32</v>
      </c>
      <c r="B104" s="3754"/>
      <c r="C104" s="3089" t="s">
        <v>2713</v>
      </c>
      <c r="D104" s="3089" t="s">
        <v>2714</v>
      </c>
      <c r="E104" s="3115">
        <v>0.1</v>
      </c>
      <c r="F104" s="3115">
        <v>15</v>
      </c>
    </row>
    <row r="105" spans="1:6" ht="24">
      <c r="A105" s="3115">
        <v>33</v>
      </c>
      <c r="B105" s="3754"/>
      <c r="C105" s="3089" t="s">
        <v>2715</v>
      </c>
      <c r="D105" s="3089" t="s">
        <v>2716</v>
      </c>
      <c r="E105" s="3115">
        <v>0.1</v>
      </c>
      <c r="F105" s="3115">
        <v>15</v>
      </c>
    </row>
    <row r="106" spans="1:6" ht="24">
      <c r="A106" s="3115">
        <v>34</v>
      </c>
      <c r="B106" s="3763"/>
      <c r="C106" s="3089" t="s">
        <v>2717</v>
      </c>
      <c r="D106" s="3089" t="s">
        <v>2718</v>
      </c>
      <c r="E106" s="3115">
        <v>0.1</v>
      </c>
      <c r="F106" s="3115">
        <v>15</v>
      </c>
    </row>
    <row r="107" spans="1:6" ht="24">
      <c r="A107" s="3115">
        <v>35</v>
      </c>
      <c r="B107" s="3759" t="s">
        <v>2719</v>
      </c>
      <c r="C107" s="3115" t="s">
        <v>2720</v>
      </c>
      <c r="D107" s="3089" t="s">
        <v>2721</v>
      </c>
      <c r="E107" s="3115">
        <v>0.15</v>
      </c>
      <c r="F107" s="3115">
        <v>20</v>
      </c>
    </row>
    <row r="108" spans="1:6" ht="13.5">
      <c r="A108" s="3115">
        <v>36</v>
      </c>
      <c r="B108" s="3754"/>
      <c r="C108" s="3115" t="s">
        <v>2722</v>
      </c>
      <c r="D108" s="3089" t="s">
        <v>2723</v>
      </c>
      <c r="E108" s="3115">
        <v>0.15</v>
      </c>
      <c r="F108" s="3115">
        <v>20</v>
      </c>
    </row>
    <row r="109" spans="1:6" ht="13.5">
      <c r="A109" s="3115">
        <v>37</v>
      </c>
      <c r="B109" s="3754"/>
      <c r="C109" s="3115" t="s">
        <v>2724</v>
      </c>
      <c r="D109" s="3089" t="s">
        <v>2725</v>
      </c>
      <c r="E109" s="3115">
        <v>0.15</v>
      </c>
      <c r="F109" s="3115">
        <v>20</v>
      </c>
    </row>
    <row r="110" spans="1:6" ht="13.5">
      <c r="A110" s="3115">
        <v>38</v>
      </c>
      <c r="B110" s="3754"/>
      <c r="C110" s="3115" t="s">
        <v>2726</v>
      </c>
      <c r="D110" s="3089" t="s">
        <v>2727</v>
      </c>
      <c r="E110" s="3115">
        <v>0.1</v>
      </c>
      <c r="F110" s="3115">
        <v>15</v>
      </c>
    </row>
    <row r="111" spans="1:6" ht="24">
      <c r="A111" s="3115">
        <v>39</v>
      </c>
      <c r="B111" s="3754"/>
      <c r="C111" s="3115" t="s">
        <v>2728</v>
      </c>
      <c r="D111" s="3089" t="s">
        <v>2729</v>
      </c>
      <c r="E111" s="3115">
        <v>0.1</v>
      </c>
      <c r="F111" s="3115">
        <v>15</v>
      </c>
    </row>
    <row r="112" spans="1:6" ht="24">
      <c r="A112" s="3115">
        <v>40</v>
      </c>
      <c r="B112" s="3763"/>
      <c r="C112" s="3115" t="s">
        <v>2730</v>
      </c>
      <c r="D112" s="3089" t="s">
        <v>2731</v>
      </c>
      <c r="E112" s="3115">
        <v>0.1</v>
      </c>
      <c r="F112" s="3115">
        <v>15</v>
      </c>
    </row>
    <row r="113" spans="1:6" ht="13.5">
      <c r="A113" s="3115">
        <v>41</v>
      </c>
      <c r="B113" s="3764" t="s">
        <v>2732</v>
      </c>
      <c r="C113" s="3115" t="s">
        <v>2733</v>
      </c>
      <c r="D113" s="3089" t="s">
        <v>2734</v>
      </c>
      <c r="E113" s="3115">
        <v>0.1</v>
      </c>
      <c r="F113" s="3115">
        <v>15</v>
      </c>
    </row>
    <row r="114" spans="1:6" ht="13.5">
      <c r="A114" s="3115">
        <v>42</v>
      </c>
      <c r="B114" s="3764"/>
      <c r="C114" s="3115" t="s">
        <v>2735</v>
      </c>
      <c r="D114" s="3089" t="s">
        <v>2736</v>
      </c>
      <c r="E114" s="3115">
        <v>0.1</v>
      </c>
      <c r="F114" s="3115">
        <v>15</v>
      </c>
    </row>
    <row r="115" spans="1:6" ht="24">
      <c r="A115" s="3115">
        <v>43</v>
      </c>
      <c r="B115" s="3764"/>
      <c r="C115" s="3115" t="s">
        <v>2737</v>
      </c>
      <c r="D115" s="3089" t="s">
        <v>2738</v>
      </c>
      <c r="E115" s="3115">
        <v>0.1</v>
      </c>
      <c r="F115" s="3115">
        <v>15</v>
      </c>
    </row>
    <row r="116" spans="1:6" ht="13.5">
      <c r="A116" s="3115">
        <v>44</v>
      </c>
      <c r="B116" s="3759" t="s">
        <v>2739</v>
      </c>
      <c r="C116" s="3115" t="s">
        <v>2740</v>
      </c>
      <c r="D116" s="3089" t="s">
        <v>2741</v>
      </c>
      <c r="E116" s="3115">
        <v>0.1</v>
      </c>
      <c r="F116" s="3115">
        <v>15</v>
      </c>
    </row>
    <row r="117" spans="1:6" ht="24">
      <c r="A117" s="3115">
        <v>45</v>
      </c>
      <c r="B117" s="3763"/>
      <c r="C117" s="3089" t="s">
        <v>2742</v>
      </c>
      <c r="D117" s="3089" t="s">
        <v>2743</v>
      </c>
      <c r="E117" s="3115">
        <v>0.1</v>
      </c>
      <c r="F117" s="3115">
        <v>15</v>
      </c>
    </row>
    <row r="118" spans="1:6" ht="24">
      <c r="A118" s="3115">
        <v>46</v>
      </c>
      <c r="B118" s="3759" t="s">
        <v>2744</v>
      </c>
      <c r="C118" s="3115" t="s">
        <v>2745</v>
      </c>
      <c r="D118" s="3089" t="s">
        <v>2746</v>
      </c>
      <c r="E118" s="3115">
        <v>0.1</v>
      </c>
      <c r="F118" s="3115">
        <v>15</v>
      </c>
    </row>
    <row r="119" spans="1:6" ht="24">
      <c r="A119" s="3115">
        <v>47</v>
      </c>
      <c r="B119" s="3763"/>
      <c r="C119" s="3115" t="s">
        <v>2747</v>
      </c>
      <c r="D119" s="3089" t="s">
        <v>2748</v>
      </c>
      <c r="E119" s="3115">
        <v>0.1</v>
      </c>
      <c r="F119" s="3115">
        <v>15</v>
      </c>
    </row>
    <row r="120" spans="1:6" ht="13.5">
      <c r="A120" s="3115">
        <v>48</v>
      </c>
      <c r="B120" s="3759" t="s">
        <v>2749</v>
      </c>
      <c r="C120" s="3115" t="s">
        <v>2750</v>
      </c>
      <c r="D120" s="3089" t="s">
        <v>2751</v>
      </c>
      <c r="E120" s="3115">
        <v>0.1</v>
      </c>
      <c r="F120" s="3115">
        <v>15</v>
      </c>
    </row>
    <row r="121" spans="1:6" ht="13.5">
      <c r="A121" s="3115">
        <v>49</v>
      </c>
      <c r="B121" s="3763"/>
      <c r="C121" s="3115" t="s">
        <v>2752</v>
      </c>
      <c r="D121" s="3089" t="s">
        <v>2753</v>
      </c>
      <c r="E121" s="3115">
        <v>0.1</v>
      </c>
      <c r="F121" s="3115">
        <v>15</v>
      </c>
    </row>
    <row r="122" spans="1:6" ht="24">
      <c r="A122" s="3115">
        <v>50</v>
      </c>
      <c r="B122" s="3764" t="s">
        <v>2754</v>
      </c>
      <c r="C122" s="3115" t="s">
        <v>2755</v>
      </c>
      <c r="D122" s="3089" t="s">
        <v>2756</v>
      </c>
      <c r="E122" s="3115">
        <v>0.1</v>
      </c>
      <c r="F122" s="3115">
        <v>15</v>
      </c>
    </row>
    <row r="123" spans="1:6" ht="24">
      <c r="A123" s="3115">
        <v>51</v>
      </c>
      <c r="B123" s="3764"/>
      <c r="C123" s="3115" t="s">
        <v>2757</v>
      </c>
      <c r="D123" s="3089" t="s">
        <v>2758</v>
      </c>
      <c r="E123" s="3115">
        <v>0.1</v>
      </c>
      <c r="F123" s="3115">
        <v>15</v>
      </c>
    </row>
    <row r="124" spans="1:6" ht="24">
      <c r="A124" s="3115">
        <v>52</v>
      </c>
      <c r="B124" s="3764" t="s">
        <v>2759</v>
      </c>
      <c r="C124" s="3115" t="s">
        <v>2760</v>
      </c>
      <c r="D124" s="3089" t="s">
        <v>2761</v>
      </c>
      <c r="E124" s="3115">
        <v>0.1</v>
      </c>
      <c r="F124" s="3115">
        <v>15</v>
      </c>
    </row>
    <row r="125" spans="1:6" ht="24">
      <c r="A125" s="3115">
        <v>53</v>
      </c>
      <c r="B125" s="376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64" t="s">
        <v>2767</v>
      </c>
      <c r="C127" s="3115" t="s">
        <v>2768</v>
      </c>
      <c r="D127" s="3089" t="s">
        <v>2769</v>
      </c>
      <c r="E127" s="3115">
        <v>0.1</v>
      </c>
      <c r="F127" s="3115">
        <v>15</v>
      </c>
    </row>
    <row r="128" spans="1:6" ht="13.5">
      <c r="A128" s="3115">
        <v>56</v>
      </c>
      <c r="B128" s="3764"/>
      <c r="C128" s="3115" t="s">
        <v>2770</v>
      </c>
      <c r="D128" s="3089" t="s">
        <v>2771</v>
      </c>
      <c r="E128" s="3115">
        <v>0.1</v>
      </c>
      <c r="F128" s="3115">
        <v>15</v>
      </c>
    </row>
    <row r="129" spans="1:6" ht="24">
      <c r="A129" s="3115">
        <v>57</v>
      </c>
      <c r="B129" s="3764"/>
      <c r="C129" s="3115" t="s">
        <v>2772</v>
      </c>
      <c r="D129" s="3089" t="s">
        <v>2773</v>
      </c>
      <c r="E129" s="3115">
        <v>0.1</v>
      </c>
      <c r="F129" s="3115">
        <v>15</v>
      </c>
    </row>
    <row r="130" spans="1:6" ht="24">
      <c r="A130" s="3115">
        <v>58</v>
      </c>
      <c r="B130" s="3764" t="s">
        <v>2774</v>
      </c>
      <c r="C130" s="3115" t="s">
        <v>2775</v>
      </c>
      <c r="D130" s="3089" t="s">
        <v>2776</v>
      </c>
      <c r="E130" s="3115">
        <v>0.1</v>
      </c>
      <c r="F130" s="3115">
        <v>15</v>
      </c>
    </row>
    <row r="131" spans="1:6" ht="13.5">
      <c r="A131" s="3115">
        <v>59</v>
      </c>
      <c r="B131" s="3764"/>
      <c r="C131" s="3115" t="s">
        <v>2777</v>
      </c>
      <c r="D131" s="3089" t="s">
        <v>2778</v>
      </c>
      <c r="E131" s="3115">
        <v>0.1</v>
      </c>
      <c r="F131" s="3115">
        <v>15</v>
      </c>
    </row>
    <row r="132" spans="1:6" ht="13.5">
      <c r="A132" s="3115">
        <v>60</v>
      </c>
      <c r="B132" s="3759" t="s">
        <v>2779</v>
      </c>
      <c r="C132" s="3115" t="s">
        <v>2780</v>
      </c>
      <c r="D132" s="3089" t="s">
        <v>2781</v>
      </c>
      <c r="E132" s="3115">
        <v>0.1</v>
      </c>
      <c r="F132" s="3115">
        <v>15</v>
      </c>
    </row>
    <row r="133" spans="1:6" ht="13.5">
      <c r="A133" s="3115">
        <v>61</v>
      </c>
      <c r="B133" s="3763"/>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64" t="s">
        <v>2787</v>
      </c>
      <c r="C135" s="3115" t="s">
        <v>2788</v>
      </c>
      <c r="D135" s="3089" t="s">
        <v>2789</v>
      </c>
      <c r="E135" s="3115">
        <v>0.1</v>
      </c>
      <c r="F135" s="3115">
        <v>15</v>
      </c>
    </row>
    <row r="136" spans="1:6" ht="13.5">
      <c r="A136" s="3115">
        <v>64</v>
      </c>
      <c r="B136" s="376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1.1748000000000001</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1.1174999999999999</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93"/>
      <c r="B4" s="3450" t="s">
        <v>917</v>
      </c>
      <c r="C4" s="3450"/>
      <c r="D4" s="3450"/>
      <c r="E4" s="1493"/>
    </row>
    <row r="5" spans="1:5" ht="16.5" thickTop="1">
      <c r="A5" s="1491"/>
      <c r="B5" s="3448" t="s">
        <v>909</v>
      </c>
      <c r="C5" s="1494" t="s">
        <v>910</v>
      </c>
      <c r="D5" s="850">
        <f ca="1">结果表!H101</f>
        <v>32364</v>
      </c>
      <c r="E5" s="1491"/>
    </row>
    <row r="6" spans="1:5" ht="15.75">
      <c r="A6" s="1491"/>
      <c r="B6" s="3448"/>
      <c r="C6" s="1494" t="s">
        <v>911</v>
      </c>
      <c r="D6" s="850" t="str">
        <f ca="1">NUMBERSTRING(INT(D5*10000),2)&amp;"元整"</f>
        <v>叁亿贰仟叁佰陆拾肆万元整</v>
      </c>
      <c r="E6" s="1491"/>
    </row>
    <row r="7" spans="1:5" ht="15.75">
      <c r="A7" s="1491"/>
      <c r="B7" s="3453"/>
      <c r="C7" s="1495" t="s">
        <v>912</v>
      </c>
      <c r="D7" s="851">
        <f ca="1">结果表!H102</f>
        <v>15181</v>
      </c>
      <c r="E7" s="1491"/>
    </row>
    <row r="8" spans="1:5" ht="15.75">
      <c r="A8" s="1491"/>
      <c r="B8" s="3454" t="str">
        <f>结果表!E103</f>
        <v>2.估价师知悉的法定优先受偿款</v>
      </c>
      <c r="C8" s="1496" t="s">
        <v>913</v>
      </c>
      <c r="D8" s="851">
        <f>结果表!H103</f>
        <v>0</v>
      </c>
      <c r="E8" s="1491"/>
    </row>
    <row r="9" spans="1:5" ht="15.75">
      <c r="A9" s="1491"/>
      <c r="B9" s="345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7" t="str">
        <f>结果表!E107</f>
        <v>3.房地产抵押价值</v>
      </c>
      <c r="C13" s="1499" t="s">
        <v>910</v>
      </c>
      <c r="D13" s="853">
        <f ca="1">结果表!H107</f>
        <v>32364</v>
      </c>
      <c r="E13" s="1491"/>
    </row>
    <row r="14" spans="1:5" ht="15.75">
      <c r="A14" s="1491"/>
      <c r="B14" s="3448"/>
      <c r="C14" s="1494" t="s">
        <v>911</v>
      </c>
      <c r="D14" s="850" t="str">
        <f ca="1">NUMBERSTRING(INT(D13*10000),2)&amp;"元整"</f>
        <v>叁亿贰仟叁佰陆拾肆万元整</v>
      </c>
      <c r="E14" s="1491"/>
    </row>
    <row r="15" spans="1:5" ht="15">
      <c r="A15" s="1491"/>
      <c r="B15" s="3453"/>
      <c r="C15" s="1495" t="s">
        <v>921</v>
      </c>
      <c r="D15" s="859">
        <f ca="1">结果表!H108</f>
        <v>15181</v>
      </c>
      <c r="E15" s="1491"/>
    </row>
    <row r="16" spans="1:5" ht="15">
      <c r="A16" s="1491"/>
      <c r="B16" s="3454" t="str">
        <f>结果表!E109</f>
        <v>——</v>
      </c>
      <c r="C16" s="1499" t="s">
        <v>922</v>
      </c>
      <c r="D16" s="1500" t="str">
        <f>结果表!H109</f>
        <v>——</v>
      </c>
      <c r="E16" s="1491"/>
    </row>
    <row r="17" spans="1:5" ht="15.75">
      <c r="A17" s="1491"/>
      <c r="B17" s="3455"/>
      <c r="C17" s="1494" t="s">
        <v>923</v>
      </c>
      <c r="D17" s="850" t="e">
        <f>NUMBERSTRING(INT(D16*10000),2)&amp;"元整"</f>
        <v>#VALUE!</v>
      </c>
      <c r="E17" s="1491"/>
    </row>
    <row r="18" spans="1:5" ht="15">
      <c r="A18" s="1491"/>
      <c r="B18" s="3456"/>
      <c r="C18" s="1495" t="s">
        <v>912</v>
      </c>
      <c r="D18" s="859" t="str">
        <f>结果表!H110</f>
        <v>——</v>
      </c>
      <c r="E18" s="1491"/>
    </row>
    <row r="19" spans="1:5" ht="15.75">
      <c r="A19" s="1491"/>
      <c r="B19" s="3447" t="str">
        <f>结果表!E111</f>
        <v>——</v>
      </c>
      <c r="C19" s="1499" t="s">
        <v>910</v>
      </c>
      <c r="D19" s="851" t="str">
        <f>结果表!H111</f>
        <v>——</v>
      </c>
      <c r="E19" s="1491"/>
    </row>
    <row r="20" spans="1:5" ht="15.75">
      <c r="A20" s="1491"/>
      <c r="B20" s="3448"/>
      <c r="C20" s="1494" t="s">
        <v>923</v>
      </c>
      <c r="D20" s="850" t="e">
        <f>NUMBERSTRING(INT(D19*10000),2)&amp;"元整"</f>
        <v>#VALUE!</v>
      </c>
      <c r="E20" s="1491"/>
    </row>
    <row r="21" spans="1:5" ht="15.75" thickBot="1">
      <c r="A21" s="1491"/>
      <c r="B21" s="344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43222</v>
      </c>
      <c r="C2" s="2" t="s">
        <v>106</v>
      </c>
      <c r="D2" s="199"/>
      <c r="E2" s="199"/>
      <c r="F2" s="199"/>
      <c r="G2" s="199"/>
    </row>
    <row r="3" spans="1:7" s="200" customFormat="1" ht="18" customHeight="1" thickBot="1">
      <c r="A3" s="203" t="s">
        <v>58</v>
      </c>
      <c r="B3" s="204">
        <f ca="1">ROUND(B2*10000/'数据-汇总表'!E3,0)</f>
        <v>20275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426</v>
      </c>
      <c r="D10" s="845">
        <f>'数据-汇总表'!E6</f>
        <v>21318.1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426</v>
      </c>
      <c r="D19" s="849">
        <f>'数据-汇总表'!E3</f>
        <v>21318.1</v>
      </c>
      <c r="E19" s="211">
        <f>'数据-取费表'!B31</f>
        <v>200</v>
      </c>
      <c r="F19" s="231"/>
      <c r="G19" s="1" t="s">
        <v>436</v>
      </c>
    </row>
    <row r="20" spans="1:7" s="214" customFormat="1" ht="13.5" customHeight="1">
      <c r="A20" s="777" t="s">
        <v>419</v>
      </c>
      <c r="B20" s="210" t="s">
        <v>77</v>
      </c>
      <c r="C20" s="232">
        <f>ROUND((C5+C19)*F20,0)</f>
        <v>631</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1499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4333</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4333</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30230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10659</v>
      </c>
      <c r="D34" s="217"/>
      <c r="E34" s="220"/>
      <c r="F34" s="257">
        <f>IF('数据-取费表'!B24=0,1,'数据-取费表'!N16)</f>
        <v>1</v>
      </c>
      <c r="G34" s="219" t="s">
        <v>89</v>
      </c>
    </row>
    <row r="35" spans="1:7" ht="13.5" customHeight="1">
      <c r="A35" s="780" t="s">
        <v>351</v>
      </c>
      <c r="B35" s="215" t="s">
        <v>33</v>
      </c>
      <c r="C35" s="220">
        <f>ROUND(C34*F35,0)</f>
        <v>320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426</v>
      </c>
      <c r="D37" s="217">
        <f>'数据-汇总表'!E3</f>
        <v>21318.1</v>
      </c>
      <c r="E37" s="249">
        <f>'数据-取费表'!B35</f>
        <v>200</v>
      </c>
      <c r="F37" s="259"/>
      <c r="G37" s="261" t="s">
        <v>92</v>
      </c>
    </row>
    <row r="38" spans="1:7" ht="13.5" customHeight="1">
      <c r="A38" s="780" t="s">
        <v>354</v>
      </c>
      <c r="B38" s="215" t="s">
        <v>36</v>
      </c>
      <c r="C38" s="220">
        <f>ROUND(C34*F38,0)</f>
        <v>213</v>
      </c>
      <c r="D38" s="220"/>
      <c r="E38" s="220"/>
      <c r="F38" s="259">
        <f>'数据-取费表'!B36</f>
        <v>0.02</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413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401</v>
      </c>
      <c r="D42" s="238"/>
      <c r="E42" s="238"/>
      <c r="F42" s="239"/>
      <c r="G42" s="3629" t="s">
        <v>94</v>
      </c>
    </row>
    <row r="43" spans="1:7" ht="13.5" customHeight="1">
      <c r="A43" s="780" t="s">
        <v>347</v>
      </c>
      <c r="B43" s="215" t="s">
        <v>426</v>
      </c>
      <c r="C43" s="238">
        <f ca="1">ROUND(IF('数据-取费表'!B22&lt;=1,C39*F22*'数据-取费表'!B21/2,C39*(POWER((1+F22),'数据-取费表'!B21/2)-1)),0)</f>
        <v>12</v>
      </c>
      <c r="D43" s="238"/>
      <c r="E43" s="238"/>
      <c r="F43" s="239"/>
      <c r="G43" s="3630"/>
    </row>
    <row r="44" spans="1:7" ht="13.5" customHeight="1">
      <c r="A44" s="780" t="s">
        <v>348</v>
      </c>
      <c r="B44" s="215" t="s">
        <v>428</v>
      </c>
      <c r="C44" s="238">
        <f ca="1">ROUND(IF('数据-取费表'!B22&lt;=1,C40*F22*'数据-取费表'!B21/2,C40*(POWER((1+F22),'数据-取费表'!B21/2)-1)),4)</f>
        <v>1E-3</v>
      </c>
      <c r="D44" s="238"/>
      <c r="E44" s="238"/>
      <c r="F44" s="239"/>
      <c r="G44" s="3631"/>
    </row>
    <row r="45" spans="1:7" s="214" customFormat="1" ht="13.5" customHeight="1">
      <c r="A45" s="777" t="s">
        <v>341</v>
      </c>
      <c r="B45" s="244" t="s">
        <v>85</v>
      </c>
      <c r="C45" s="245">
        <f>C46</f>
        <v>2393</v>
      </c>
      <c r="D45" s="235">
        <f>C47</f>
        <v>6.0000000000000001E-3</v>
      </c>
      <c r="E45" s="236" t="s">
        <v>102</v>
      </c>
      <c r="F45" s="246"/>
      <c r="G45" s="247" t="s">
        <v>434</v>
      </c>
    </row>
    <row r="46" spans="1:7" s="214" customFormat="1" ht="13.5" customHeight="1">
      <c r="A46" s="780" t="s">
        <v>349</v>
      </c>
      <c r="B46" s="248" t="s">
        <v>427</v>
      </c>
      <c r="C46" s="249">
        <f>ROUND((C33+C39)*F27,0)</f>
        <v>2393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16240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12992</v>
      </c>
      <c r="D51" s="232"/>
      <c r="E51" s="232"/>
      <c r="F51" s="264"/>
      <c r="G51" s="234" t="s">
        <v>37</v>
      </c>
    </row>
    <row r="52" spans="1:7" s="208" customFormat="1" ht="16.5" thickBot="1">
      <c r="A52" s="265" t="s">
        <v>38</v>
      </c>
      <c r="B52" s="266"/>
      <c r="C52" s="267">
        <f ca="1">C31+C51</f>
        <v>43222</v>
      </c>
      <c r="D52" s="266"/>
      <c r="E52" s="266"/>
      <c r="F52" s="266"/>
      <c r="G52" s="268"/>
    </row>
    <row r="55" spans="1:7" ht="15">
      <c r="B55" s="270" t="s">
        <v>39</v>
      </c>
      <c r="C55" s="271"/>
    </row>
    <row r="56" spans="1:7">
      <c r="B56" s="273" t="s">
        <v>40</v>
      </c>
      <c r="C56" s="274">
        <f ca="1">ROUND(C51/C52,3)</f>
        <v>0.30099999999999999</v>
      </c>
    </row>
    <row r="57" spans="1:7">
      <c r="B57" s="273" t="s">
        <v>41</v>
      </c>
      <c r="C57" s="275">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7" t="s">
        <v>2837</v>
      </c>
      <c r="B1" s="3767"/>
      <c r="C1" s="3767"/>
      <c r="D1" s="3767"/>
      <c r="E1" s="3767"/>
      <c r="F1" s="3767"/>
      <c r="G1" s="3768"/>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65"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66"/>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69" t="s">
        <v>3179</v>
      </c>
      <c r="B1" s="3769"/>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0" t="s">
        <v>3230</v>
      </c>
      <c r="B1" s="3770"/>
      <c r="C1" s="3770"/>
      <c r="D1" s="3770"/>
      <c r="E1" s="3770"/>
      <c r="F1" s="3771"/>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45410</v>
      </c>
      <c r="B1" s="3207" t="s">
        <v>3368</v>
      </c>
      <c r="C1" s="3208"/>
      <c r="D1" s="3208"/>
      <c r="E1" s="3208"/>
      <c r="F1" s="3208"/>
      <c r="G1" s="3208"/>
      <c r="H1" s="3208"/>
      <c r="I1" s="3208"/>
      <c r="J1" s="3162"/>
      <c r="K1" s="3208" t="s">
        <v>454</v>
      </c>
      <c r="L1" s="3208"/>
      <c r="M1" s="3208"/>
      <c r="N1" s="3208"/>
      <c r="O1" s="3208"/>
      <c r="P1" s="3208"/>
      <c r="Q1" s="3162"/>
      <c r="R1" s="3772" t="s">
        <v>456</v>
      </c>
      <c r="S1" s="3773"/>
      <c r="T1" s="3773"/>
      <c r="U1" s="3773"/>
      <c r="V1" s="3773"/>
      <c r="W1" s="3773"/>
      <c r="X1" s="3162"/>
      <c r="Y1" s="3772" t="s">
        <v>457</v>
      </c>
      <c r="Z1" s="3773"/>
      <c r="AA1" s="3773"/>
      <c r="AB1" s="3773"/>
      <c r="AC1" s="3773"/>
      <c r="AD1" s="3773"/>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3371</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3372</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3374</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3375</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3367</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3366</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3365</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3361</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3352</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2818</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2819</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2820</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2821</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2822</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3363</v>
      </c>
    </row>
    <row r="21" spans="1:30" s="3006" customFormat="1">
      <c r="I21" s="3205" t="s">
        <v>2823</v>
      </c>
    </row>
    <row r="22" spans="1:30" s="3006" customFormat="1"/>
    <row r="23" spans="1:30" s="3206" customFormat="1" ht="12.75">
      <c r="B23" s="3207" t="s">
        <v>3369</v>
      </c>
      <c r="C23" s="3208"/>
      <c r="D23" s="3208"/>
      <c r="E23" s="3208"/>
      <c r="F23" s="3208"/>
      <c r="G23" s="3208"/>
      <c r="H23" s="3208"/>
      <c r="I23" s="3208"/>
      <c r="J23" s="3162"/>
      <c r="K23" s="3208" t="s">
        <v>2824</v>
      </c>
      <c r="L23" s="3208"/>
      <c r="M23" s="3208"/>
      <c r="N23" s="3208"/>
      <c r="O23" s="3208"/>
      <c r="P23" s="3208"/>
      <c r="Q23" s="3162"/>
      <c r="R23" s="3772" t="s">
        <v>2825</v>
      </c>
      <c r="S23" s="3773"/>
      <c r="T23" s="3773"/>
      <c r="U23" s="3773"/>
      <c r="V23" s="3773"/>
      <c r="W23" s="3773"/>
      <c r="X23" s="3162"/>
      <c r="Y23" s="3772" t="s">
        <v>2826</v>
      </c>
      <c r="Z23" s="3773"/>
      <c r="AA23" s="3773"/>
      <c r="AB23" s="3773"/>
      <c r="AC23" s="3773"/>
      <c r="AD23" s="3773"/>
    </row>
    <row r="24" spans="1:30" s="3140" customFormat="1" ht="14.25" thickBot="1">
      <c r="B24" s="3141"/>
      <c r="C24" s="3142"/>
      <c r="D24" s="3143" t="s">
        <v>2827</v>
      </c>
      <c r="E24" s="3144" t="s">
        <v>2828</v>
      </c>
      <c r="F24" s="3144" t="s">
        <v>2829</v>
      </c>
      <c r="G24" s="3144" t="s">
        <v>2830</v>
      </c>
      <c r="H24" s="3144"/>
      <c r="I24" s="3144" t="s">
        <v>2831</v>
      </c>
      <c r="J24" s="3145"/>
      <c r="K24" s="3143" t="s">
        <v>2827</v>
      </c>
      <c r="L24" s="3144" t="s">
        <v>2828</v>
      </c>
      <c r="M24" s="3144" t="s">
        <v>2829</v>
      </c>
      <c r="N24" s="3144" t="s">
        <v>2830</v>
      </c>
      <c r="O24" s="3144"/>
      <c r="P24" s="3144" t="s">
        <v>2831</v>
      </c>
      <c r="Q24" s="3145"/>
      <c r="R24" s="3143" t="s">
        <v>2827</v>
      </c>
      <c r="S24" s="3144" t="s">
        <v>2828</v>
      </c>
      <c r="T24" s="3144" t="s">
        <v>2829</v>
      </c>
      <c r="U24" s="3144" t="s">
        <v>2830</v>
      </c>
      <c r="V24" s="3144"/>
      <c r="W24" s="3144" t="s">
        <v>2831</v>
      </c>
      <c r="X24" s="3145"/>
      <c r="Y24" s="3143" t="s">
        <v>2827</v>
      </c>
      <c r="Z24" s="3144" t="s">
        <v>2828</v>
      </c>
      <c r="AA24" s="3144" t="s">
        <v>2829</v>
      </c>
      <c r="AB24" s="3144" t="s">
        <v>2830</v>
      </c>
      <c r="AC24" s="3144"/>
      <c r="AD24" s="3144" t="s">
        <v>2831</v>
      </c>
    </row>
    <row r="25" spans="1:30" s="3158" customFormat="1" ht="12.75">
      <c r="A25" s="3146" t="s">
        <v>2832</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3371</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3372</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3376</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3375</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3370</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3366</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3365</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3362</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3352</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2833</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2834</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2835</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2836</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2822</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45410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2307</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54" t="s">
        <v>925</v>
      </c>
      <c r="E3" s="854" t="s">
        <v>931</v>
      </c>
      <c r="F3" s="854" t="s">
        <v>925</v>
      </c>
      <c r="G3" s="854" t="s">
        <v>926</v>
      </c>
      <c r="H3" s="854" t="s">
        <v>925</v>
      </c>
      <c r="I3" s="854" t="s">
        <v>926</v>
      </c>
    </row>
    <row r="4" spans="1:9" ht="15">
      <c r="A4" s="1505" t="str">
        <f>项目基本情况!S2</f>
        <v>北京市海淀区八里庄路62号院1号楼1层101等房地产</v>
      </c>
      <c r="B4" s="854">
        <f>项目基本情况!C17</f>
        <v>21318.1</v>
      </c>
      <c r="C4" s="854">
        <f>项目基本情况!C18</f>
        <v>2347.3000000000002</v>
      </c>
      <c r="D4" s="854" t="e">
        <f ca="1">结果表!D118</f>
        <v>#REF!</v>
      </c>
      <c r="E4" s="854" t="e">
        <f ca="1">结果表!E118</f>
        <v>#REF!</v>
      </c>
      <c r="F4" s="854" t="e">
        <f ca="1">结果表!F118</f>
        <v>#REF!</v>
      </c>
      <c r="G4" s="854" t="e">
        <f ca="1">结果表!G118</f>
        <v>#REF!</v>
      </c>
      <c r="H4" s="854">
        <f ca="1">结果表!H118</f>
        <v>32364</v>
      </c>
      <c r="I4" s="854">
        <f ca="1">结果表!I118</f>
        <v>15181</v>
      </c>
    </row>
    <row r="5" spans="1:9" ht="30" customHeight="1">
      <c r="A5" s="3459" t="s">
        <v>927</v>
      </c>
      <c r="B5" s="3459"/>
      <c r="C5" s="3459"/>
      <c r="D5" s="3459" t="e">
        <f ca="1">结果表!D119</f>
        <v>#REF!</v>
      </c>
      <c r="E5" s="3459"/>
      <c r="F5" s="3459" t="e">
        <f ca="1">结果表!F119</f>
        <v>#REF!</v>
      </c>
      <c r="G5" s="3459"/>
      <c r="H5" s="3459" t="str">
        <f ca="1">结果表!H119</f>
        <v>叁亿贰仟叁佰陆拾肆万元整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f ca="1">结果表!D122</f>
        <v>32364</v>
      </c>
      <c r="E8" s="3460"/>
      <c r="F8" s="3460"/>
      <c r="G8" s="3460"/>
      <c r="H8" s="3460"/>
      <c r="I8" s="3460"/>
    </row>
    <row r="9" spans="1:9" ht="15">
      <c r="A9" s="3459" t="s">
        <v>927</v>
      </c>
      <c r="B9" s="3459"/>
      <c r="C9" s="3459"/>
      <c r="D9" s="3459" t="str">
        <f ca="1">结果表!D123</f>
        <v>叁亿贰仟叁佰陆拾肆万元整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6" t="s">
        <v>949</v>
      </c>
      <c r="B1" s="3466"/>
      <c r="C1" s="3466"/>
      <c r="D1" s="3466"/>
    </row>
    <row r="2" spans="1:4" ht="18">
      <c r="A2" s="3467" t="s">
        <v>933</v>
      </c>
      <c r="B2" s="3467"/>
      <c r="C2" s="3467"/>
      <c r="D2" s="346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67" t="s">
        <v>939</v>
      </c>
      <c r="B6" s="3467"/>
      <c r="C6" s="3467"/>
      <c r="D6" s="34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0" t="s">
        <v>956</v>
      </c>
      <c r="B15" s="3475" t="s">
        <v>109</v>
      </c>
      <c r="C15" s="3476"/>
    </row>
    <row r="16" spans="1:7" ht="13.5">
      <c r="A16" s="3481"/>
      <c r="B16" s="3475" t="s">
        <v>42</v>
      </c>
      <c r="C16" s="3476"/>
    </row>
    <row r="17" spans="1:3" ht="13.5">
      <c r="A17" s="3481"/>
      <c r="B17" s="3478" t="s">
        <v>957</v>
      </c>
      <c r="C17" s="1532" t="s">
        <v>956</v>
      </c>
    </row>
    <row r="18" spans="1:3" ht="13.5">
      <c r="A18" s="3481"/>
      <c r="B18" s="3478"/>
      <c r="C18" s="1532" t="s">
        <v>958</v>
      </c>
    </row>
    <row r="19" spans="1:3" ht="13.5">
      <c r="A19" s="3481"/>
      <c r="B19" s="3478"/>
      <c r="C19" s="1532" t="s">
        <v>959</v>
      </c>
    </row>
    <row r="20" spans="1:3" ht="13.5">
      <c r="A20" s="3482"/>
      <c r="B20" s="3477" t="s">
        <v>960</v>
      </c>
      <c r="C20" s="3476"/>
    </row>
    <row r="21" spans="1:3" ht="13.5">
      <c r="A21" s="1533" t="s">
        <v>961</v>
      </c>
      <c r="B21" s="1534"/>
      <c r="C21" s="1535"/>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32" t="s">
        <v>967</v>
      </c>
    </row>
    <row r="26" spans="1:3" ht="13.5">
      <c r="A26" s="3479"/>
      <c r="B26" s="3478"/>
      <c r="C26" s="1532" t="s">
        <v>968</v>
      </c>
    </row>
    <row r="27" spans="1:3" ht="13.5">
      <c r="A27" s="3479"/>
      <c r="B27" s="3478"/>
      <c r="C27" s="1532" t="s">
        <v>969</v>
      </c>
    </row>
    <row r="28" spans="1:3" ht="13.5">
      <c r="A28" s="3479"/>
      <c r="B28" s="3478"/>
      <c r="C28" s="1532" t="s">
        <v>970</v>
      </c>
    </row>
    <row r="29" spans="1:3" ht="13.5">
      <c r="A29" s="3479"/>
      <c r="B29" s="3478"/>
      <c r="C29" s="1532" t="s">
        <v>971</v>
      </c>
    </row>
    <row r="30" spans="1:3" ht="13.5">
      <c r="A30" s="3479"/>
      <c r="B30" s="3478"/>
      <c r="C30" s="1532" t="s">
        <v>972</v>
      </c>
    </row>
    <row r="31" spans="1:3" ht="13.5">
      <c r="A31" s="3479"/>
      <c r="B31" s="3478"/>
      <c r="C31" s="1532" t="s">
        <v>973</v>
      </c>
    </row>
    <row r="32" spans="1:3" ht="13.5">
      <c r="A32" s="3479"/>
      <c r="B32" s="3478"/>
      <c r="C32" s="1532" t="s">
        <v>974</v>
      </c>
    </row>
    <row r="33" spans="1:3" ht="13.5">
      <c r="A33" s="3479"/>
      <c r="B33" s="347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45410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3" t="s">
        <v>2159</v>
      </c>
      <c r="B17" s="3483"/>
      <c r="C17" s="3483"/>
      <c r="D17" s="3483"/>
      <c r="E17" s="3483"/>
      <c r="F17" s="3483"/>
      <c r="G17" s="3483"/>
      <c r="H17" s="3483"/>
    </row>
    <row r="18" spans="1:8" ht="24" customHeight="1">
      <c r="A18" s="3484" t="s">
        <v>2160</v>
      </c>
      <c r="B18" s="3484"/>
      <c r="C18" s="3484"/>
      <c r="D18" s="2343"/>
      <c r="E18" s="3485" t="s">
        <v>2161</v>
      </c>
      <c r="F18" s="3484"/>
      <c r="G18" s="348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2024-04-28T09:35:25Z</dcterms:modified>
</cp:coreProperties>
</file>