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北京市门头沟区石龙经济开发区上园路3号1幢工业\"/>
    </mc:Choice>
  </mc:AlternateContent>
  <xr:revisionPtr revIDLastSave="0" documentId="13_ncr:1_{EEB08AAC-FDA3-408C-A2F8-51BB114AEB94}"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位置租金"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O29" i="1"/>
  <c r="N29" i="1"/>
  <c r="M29" i="1"/>
  <c r="L29" i="1"/>
  <c r="K29" i="1"/>
  <c r="J52" i="15" l="1"/>
  <c r="Y6" i="1"/>
  <c r="F19" i="6" l="1"/>
  <c r="D33" i="43" s="1"/>
  <c r="C19" i="6"/>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AA28" i="79"/>
  <c r="AD28" i="79" s="1"/>
  <c r="S42" i="79"/>
  <c r="AD45" i="79"/>
  <c r="Z3" i="79"/>
  <c r="T34" i="79"/>
  <c r="W34" i="79" s="1"/>
  <c r="U40" i="79"/>
  <c r="AD41"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E80" i="71"/>
  <c r="U80" i="71" s="1"/>
  <c r="C80" i="71"/>
  <c r="D80" i="71" s="1"/>
  <c r="B80" i="71"/>
  <c r="S80" i="71" s="1"/>
  <c r="Q79" i="71"/>
  <c r="P79" i="71"/>
  <c r="O79" i="71"/>
  <c r="N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V68"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AB38" i="71" s="1"/>
  <c r="P38" i="71"/>
  <c r="O38" i="71"/>
  <c r="N38" i="71"/>
  <c r="F38" i="71"/>
  <c r="F39" i="71" s="1"/>
  <c r="F40" i="71" s="1"/>
  <c r="V40" i="71" s="1"/>
  <c r="Q37" i="71"/>
  <c r="AB35" i="71" s="1"/>
  <c r="P37" i="71"/>
  <c r="E38" i="71" s="1"/>
  <c r="O37" i="71"/>
  <c r="N37" i="71"/>
  <c r="B38" i="71" s="1"/>
  <c r="D37" i="71"/>
  <c r="Q36" i="71"/>
  <c r="P36" i="71"/>
  <c r="O36" i="71"/>
  <c r="N36" i="71"/>
  <c r="Q35" i="71"/>
  <c r="P35" i="71"/>
  <c r="O35" i="71"/>
  <c r="N35" i="71"/>
  <c r="Q34" i="71"/>
  <c r="P34" i="71"/>
  <c r="O34" i="71"/>
  <c r="N34" i="71"/>
  <c r="Q33" i="7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30" i="71"/>
  <c r="B31" i="71"/>
  <c r="E30" i="71"/>
  <c r="E31" i="71" s="1"/>
  <c r="E32" i="71" s="1"/>
  <c r="U32" i="71" s="1"/>
  <c r="C30" i="71"/>
  <c r="D30" i="71" s="1"/>
  <c r="C34" i="71"/>
  <c r="D34" i="71" s="1"/>
  <c r="D50" i="71"/>
  <c r="P28" i="71"/>
  <c r="U68" i="71"/>
  <c r="E67" i="71"/>
  <c r="E66" i="71" s="1"/>
  <c r="Q28" i="71"/>
  <c r="F28" i="71" s="1"/>
  <c r="D62" i="71"/>
  <c r="T68" i="71"/>
  <c r="O68" i="71"/>
  <c r="D68" i="71"/>
  <c r="C67" i="71"/>
  <c r="D67" i="71" s="1"/>
  <c r="E71" i="71"/>
  <c r="E70" i="71"/>
  <c r="C75" i="71"/>
  <c r="D75" i="71" s="1"/>
  <c r="C66" i="71"/>
  <c r="O65"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2" i="20"/>
  <c r="S21" i="34"/>
  <c r="H25" i="40"/>
  <c r="AB25" i="40" s="1"/>
  <c r="J25" i="40"/>
  <c r="H29" i="39"/>
  <c r="J29" i="39"/>
  <c r="J18" i="36"/>
  <c r="H18" i="35"/>
  <c r="AB18" i="35" s="1"/>
  <c r="G68" i="35"/>
  <c r="J18" i="35"/>
  <c r="H21" i="37"/>
  <c r="AB21" i="37" s="1"/>
  <c r="F21" i="37"/>
  <c r="F84" i="34"/>
  <c r="G84" i="34" s="1"/>
  <c r="H21" i="34"/>
  <c r="AB21" i="34" s="1"/>
  <c r="H21" i="33"/>
  <c r="U21" i="33" s="1"/>
  <c r="F21" i="33"/>
  <c r="S21" i="33" s="1"/>
  <c r="E83" i="21"/>
  <c r="F83" i="21" s="1"/>
  <c r="G83" i="21" s="1"/>
  <c r="H1" i="69"/>
  <c r="AC25" i="40"/>
  <c r="W25" i="40"/>
  <c r="U21" i="37"/>
  <c r="U21" i="34"/>
  <c r="AA21" i="33"/>
  <c r="AC18" i="35"/>
  <c r="W18" i="35"/>
  <c r="J21" i="37"/>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J25" i="37" s="1"/>
  <c r="AC25" i="37" s="1"/>
  <c r="B110" i="37"/>
  <c r="B108" i="37"/>
  <c r="C23" i="37"/>
  <c r="C19" i="37"/>
  <c r="C17" i="37"/>
  <c r="C15" i="37"/>
  <c r="B112" i="37"/>
  <c r="J40" i="37" s="1"/>
  <c r="AC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F12" i="36" s="1"/>
  <c r="B55" i="36"/>
  <c r="H11" i="36" s="1"/>
  <c r="U11" i="36" s="1"/>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Q27" i="36"/>
  <c r="Z27" i="36" s="1"/>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B99" i="35"/>
  <c r="B97" i="35"/>
  <c r="B77" i="35"/>
  <c r="B75" i="35"/>
  <c r="J24" i="35" s="1"/>
  <c r="AC24" i="35" s="1"/>
  <c r="B73" i="35"/>
  <c r="B57" i="35"/>
  <c r="J11" i="35" s="1"/>
  <c r="W11" i="35" s="1"/>
  <c r="B61" i="35"/>
  <c r="B59" i="35"/>
  <c r="F12" i="35" s="1"/>
  <c r="B131" i="34"/>
  <c r="B129" i="34"/>
  <c r="H46" i="34" s="1"/>
  <c r="U46" i="34" s="1"/>
  <c r="B127" i="34"/>
  <c r="H45" i="34" s="1"/>
  <c r="U45" i="34" s="1"/>
  <c r="B99" i="34"/>
  <c r="B97" i="34"/>
  <c r="B95" i="34"/>
  <c r="J30" i="34" s="1"/>
  <c r="B93" i="34"/>
  <c r="B75" i="34"/>
  <c r="F14" i="34" s="1"/>
  <c r="S14" i="34" s="1"/>
  <c r="B73" i="34"/>
  <c r="B71" i="34"/>
  <c r="B130" i="33"/>
  <c r="F46" i="33" s="1"/>
  <c r="AA46" i="33" s="1"/>
  <c r="B128" i="33"/>
  <c r="H45" i="33" s="1"/>
  <c r="U45" i="33" s="1"/>
  <c r="B126" i="33"/>
  <c r="B98" i="33"/>
  <c r="B96" i="33"/>
  <c r="H30" i="33" s="1"/>
  <c r="AB30" i="33" s="1"/>
  <c r="B94" i="33"/>
  <c r="F29" i="33" s="1"/>
  <c r="S29" i="33" s="1"/>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U34" i="35" s="1"/>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W39" i="33" s="1"/>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H46" i="21" s="1"/>
  <c r="B128" i="21"/>
  <c r="J45" i="21"/>
  <c r="W45" i="21" s="1"/>
  <c r="B126" i="21"/>
  <c r="J44" i="21" s="1"/>
  <c r="AC44" i="21" s="1"/>
  <c r="B98" i="21"/>
  <c r="H31" i="21" s="1"/>
  <c r="B96" i="21"/>
  <c r="F30" i="21" s="1"/>
  <c r="S30" i="21" s="1"/>
  <c r="B94" i="21"/>
  <c r="J29" i="21" s="1"/>
  <c r="AC29" i="21" s="1"/>
  <c r="B92" i="21"/>
  <c r="F28" i="21" s="1"/>
  <c r="B90" i="21"/>
  <c r="B74" i="21"/>
  <c r="F14" i="21" s="1"/>
  <c r="S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W45" i="39" s="1"/>
  <c r="H36" i="39"/>
  <c r="AB36" i="39" s="1"/>
  <c r="J35" i="39"/>
  <c r="AC35" i="39" s="1"/>
  <c r="F35" i="39"/>
  <c r="AA35" i="39" s="1"/>
  <c r="U9" i="39"/>
  <c r="W40" i="39"/>
  <c r="W25" i="37"/>
  <c r="U30" i="37"/>
  <c r="E103" i="37"/>
  <c r="F103" i="37" s="1"/>
  <c r="G103" i="37" s="1"/>
  <c r="H103" i="37" s="1"/>
  <c r="I103" i="37" s="1"/>
  <c r="J103" i="37" s="1"/>
  <c r="K103" i="37" s="1"/>
  <c r="L103" i="37" s="1"/>
  <c r="M103" i="37" s="1"/>
  <c r="F29" i="36"/>
  <c r="AA29" i="36" s="1"/>
  <c r="F16" i="36"/>
  <c r="AA16" i="36" s="1"/>
  <c r="J33" i="36"/>
  <c r="AC33" i="36" s="1"/>
  <c r="H22" i="35"/>
  <c r="AB22" i="35"/>
  <c r="W28" i="35"/>
  <c r="U31" i="35"/>
  <c r="W22" i="35"/>
  <c r="F36" i="34"/>
  <c r="J35" i="34"/>
  <c r="U34" i="34"/>
  <c r="H39" i="33"/>
  <c r="AB39" i="33" s="1"/>
  <c r="U33" i="33"/>
  <c r="U35" i="33"/>
  <c r="W33" i="33"/>
  <c r="H39" i="37"/>
  <c r="AB39" i="37" s="1"/>
  <c r="S27" i="35"/>
  <c r="F11" i="40"/>
  <c r="AA11" i="40" s="1"/>
  <c r="H11" i="40"/>
  <c r="AB11" i="40" s="1"/>
  <c r="W8" i="40"/>
  <c r="U9" i="40"/>
  <c r="S34"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W32" i="40"/>
  <c r="J34" i="36"/>
  <c r="W34" i="36" s="1"/>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F15" i="34"/>
  <c r="AA15" i="34" s="1"/>
  <c r="J15" i="34"/>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J42" i="21"/>
  <c r="AC42" i="21" s="1"/>
  <c r="H42" i="21"/>
  <c r="U42" i="21"/>
  <c r="J44" i="34"/>
  <c r="F44" i="34"/>
  <c r="AA44" i="34" s="1"/>
  <c r="J10" i="35"/>
  <c r="AC10" i="35" s="1"/>
  <c r="J14" i="21"/>
  <c r="W14" i="21" s="1"/>
  <c r="H14" i="21"/>
  <c r="U14" i="21" s="1"/>
  <c r="H28" i="21"/>
  <c r="AB28" i="21" s="1"/>
  <c r="AA28" i="21"/>
  <c r="J28" i="21"/>
  <c r="W28" i="21" s="1"/>
  <c r="H30" i="21"/>
  <c r="U30" i="21" s="1"/>
  <c r="J30" i="21"/>
  <c r="AC30" i="21" s="1"/>
  <c r="H44" i="21"/>
  <c r="U44" i="21" s="1"/>
  <c r="F44" i="21"/>
  <c r="AA44" i="21" s="1"/>
  <c r="U46" i="2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W13" i="33" s="1"/>
  <c r="J29" i="33"/>
  <c r="H29" i="33"/>
  <c r="U29" i="33" s="1"/>
  <c r="J31" i="33"/>
  <c r="W31" i="33" s="1"/>
  <c r="H31" i="33"/>
  <c r="F31" i="33"/>
  <c r="J45" i="33"/>
  <c r="W45" i="33" s="1"/>
  <c r="F45" i="33"/>
  <c r="AA45" i="33" s="1"/>
  <c r="J14" i="34"/>
  <c r="W14" i="34" s="1"/>
  <c r="H14" i="34"/>
  <c r="H30" i="34"/>
  <c r="F30" i="34"/>
  <c r="S30" i="34" s="1"/>
  <c r="H32" i="34"/>
  <c r="F32" i="34"/>
  <c r="J32" i="34"/>
  <c r="W32" i="34" s="1"/>
  <c r="F46" i="34"/>
  <c r="AA46" i="34" s="1"/>
  <c r="J46" i="34"/>
  <c r="H11" i="35"/>
  <c r="AB11" i="35" s="1"/>
  <c r="AC11" i="35"/>
  <c r="F11" i="35"/>
  <c r="S11" i="35" s="1"/>
  <c r="J26" i="36"/>
  <c r="W26" i="36" s="1"/>
  <c r="H28" i="36"/>
  <c r="U28" i="36" s="1"/>
  <c r="H32" i="36"/>
  <c r="AB32" i="36" s="1"/>
  <c r="J32" i="36"/>
  <c r="W32" i="36" s="1"/>
  <c r="J11" i="36"/>
  <c r="AC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F40" i="37"/>
  <c r="AA40" i="37" s="1"/>
  <c r="AC12" i="40"/>
  <c r="W12" i="40"/>
  <c r="H14" i="33"/>
  <c r="U14" i="33" s="1"/>
  <c r="F14" i="33"/>
  <c r="S14" i="33" s="1"/>
  <c r="J14" i="33"/>
  <c r="F30" i="33"/>
  <c r="J30" i="33"/>
  <c r="AC30" i="33" s="1"/>
  <c r="H44" i="33"/>
  <c r="J44" i="33"/>
  <c r="AC44" i="33"/>
  <c r="F44" i="33"/>
  <c r="S44" i="33" s="1"/>
  <c r="J46" i="33"/>
  <c r="AC46" i="33" s="1"/>
  <c r="H46" i="33"/>
  <c r="AB46" i="33" s="1"/>
  <c r="H13" i="34"/>
  <c r="U13" i="34" s="1"/>
  <c r="J13" i="34"/>
  <c r="W13" i="34" s="1"/>
  <c r="F13" i="34"/>
  <c r="AA13" i="34" s="1"/>
  <c r="J29" i="34"/>
  <c r="F29" i="34"/>
  <c r="S29" i="34" s="1"/>
  <c r="H29" i="34"/>
  <c r="AB29" i="34" s="1"/>
  <c r="J31" i="34"/>
  <c r="AC31" i="34"/>
  <c r="H31" i="34"/>
  <c r="F31" i="34"/>
  <c r="S31"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AA44" i="33"/>
  <c r="J36" i="37"/>
  <c r="AC36" i="37" s="1"/>
  <c r="J10" i="36"/>
  <c r="AC10" i="36" s="1"/>
  <c r="AB30" i="21"/>
  <c r="AA14" i="37"/>
  <c r="W31" i="34"/>
  <c r="AB46" i="34"/>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BA556" i="3"/>
  <c r="AZ556" i="3" s="1"/>
  <c r="BA554" i="3"/>
  <c r="AZ554" i="3" s="1"/>
  <c r="BA552" i="3"/>
  <c r="BA548" i="3"/>
  <c r="BA546" i="3"/>
  <c r="BA544" i="3"/>
  <c r="AZ544" i="3" s="1"/>
  <c r="BA542" i="3"/>
  <c r="AZ542" i="3" s="1"/>
  <c r="BA540" i="3"/>
  <c r="BA538" i="3"/>
  <c r="AZ538" i="3" s="1"/>
  <c r="BA536" i="3"/>
  <c r="AZ536" i="3" s="1"/>
  <c r="BA534" i="3"/>
  <c r="AZ534" i="3" s="1"/>
  <c r="BA532" i="3"/>
  <c r="AZ532" i="3"/>
  <c r="BA530" i="3"/>
  <c r="BA528" i="3"/>
  <c r="AZ528" i="3" s="1"/>
  <c r="BA526" i="3"/>
  <c r="BA524" i="3"/>
  <c r="AZ524" i="3" s="1"/>
  <c r="BA522" i="3"/>
  <c r="BA520" i="3"/>
  <c r="AZ520" i="3" s="1"/>
  <c r="BA518" i="3"/>
  <c r="BA516" i="3"/>
  <c r="AZ516" i="3" s="1"/>
  <c r="BA514" i="3"/>
  <c r="BA512" i="3"/>
  <c r="BA510" i="3"/>
  <c r="BA508" i="3"/>
  <c r="BA506" i="3"/>
  <c r="BA504" i="3"/>
  <c r="AZ504" i="3" s="1"/>
  <c r="BA502" i="3"/>
  <c r="BA500" i="3"/>
  <c r="AZ500" i="3" s="1"/>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6" i="34"/>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H19" i="40"/>
  <c r="U19" i="40" s="1"/>
  <c r="F88" i="40"/>
  <c r="G88" i="40" s="1"/>
  <c r="F19" i="40"/>
  <c r="S19" i="40" s="1"/>
  <c r="AC13" i="40"/>
  <c r="AB33" i="40"/>
  <c r="W23" i="39"/>
  <c r="AC43" i="39"/>
  <c r="W43" i="39"/>
  <c r="U45" i="39"/>
  <c r="AB45"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494" i="3"/>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79" i="3"/>
  <c r="AZ14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AZ249" i="3"/>
  <c r="BA379" i="3"/>
  <c r="AZ379" i="3" s="1"/>
  <c r="BL380" i="3"/>
  <c r="G381" i="3"/>
  <c r="BA383" i="3"/>
  <c r="AZ383" i="3" s="1"/>
  <c r="BL384" i="3"/>
  <c r="G385" i="3"/>
  <c r="BA387" i="3"/>
  <c r="BL388" i="3"/>
  <c r="G389" i="3"/>
  <c r="BA391" i="3"/>
  <c r="BL392" i="3"/>
  <c r="G393" i="3"/>
  <c r="BO5" i="3"/>
  <c r="BM5" i="3"/>
  <c r="BJ5" i="3"/>
  <c r="BH5" i="3"/>
  <c r="BF5" i="3"/>
  <c r="BD5" i="3"/>
  <c r="AC5" i="3"/>
  <c r="AZ506" i="3"/>
  <c r="AZ496" i="3"/>
  <c r="G548" i="3"/>
  <c r="G538" i="3"/>
  <c r="G520" i="3"/>
  <c r="G502" i="3"/>
  <c r="BS5" i="3"/>
  <c r="BP5" i="3"/>
  <c r="G29" i="6" s="1"/>
  <c r="BN5" i="3"/>
  <c r="BK5" i="3"/>
  <c r="BI5" i="3"/>
  <c r="BG5" i="3"/>
  <c r="BE5" i="3"/>
  <c r="BC5" i="3"/>
  <c r="G17" i="3"/>
  <c r="BA17" i="3"/>
  <c r="AZ17" i="3" s="1"/>
  <c r="BT5" i="3"/>
  <c r="BA15" i="3"/>
  <c r="BR5" i="3"/>
  <c r="AZ380" i="3"/>
  <c r="AZ392" i="3"/>
  <c r="G509" i="3"/>
  <c r="BL493" i="3"/>
  <c r="AZ493" i="3" s="1"/>
  <c r="U36" i="40"/>
  <c r="F83" i="43"/>
  <c r="H85" i="43" s="1"/>
  <c r="G85" i="43" s="1"/>
  <c r="F50" i="43"/>
  <c r="H54" i="43" s="1"/>
  <c r="F72" i="43"/>
  <c r="H75" i="43" s="1"/>
  <c r="U17" i="39"/>
  <c r="S14" i="35"/>
  <c r="U43" i="21"/>
  <c r="U35" i="21"/>
  <c r="AC35" i="21"/>
  <c r="G10" i="1"/>
  <c r="W37" i="37"/>
  <c r="W44" i="34"/>
  <c r="AC44" i="34"/>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s="1"/>
  <c r="J27" i="40"/>
  <c r="F27" i="40"/>
  <c r="S27" i="40"/>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27"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C12" i="39"/>
  <c r="W12" i="39"/>
  <c r="AA32" i="36"/>
  <c r="S32" i="36"/>
  <c r="BL14" i="3"/>
  <c r="U30" i="33"/>
  <c r="AC13" i="34"/>
  <c r="S19" i="39"/>
  <c r="F12" i="33"/>
  <c r="S12" i="33" s="1"/>
  <c r="H12" i="39"/>
  <c r="AB12" i="39" s="1"/>
  <c r="F39" i="40"/>
  <c r="AA39" i="40" s="1"/>
  <c r="BA14"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AC17" i="40"/>
  <c r="AC15" i="40"/>
  <c r="S30" i="40"/>
  <c r="S28" i="40"/>
  <c r="AA27" i="40"/>
  <c r="U37" i="39"/>
  <c r="S43" i="39"/>
  <c r="U35" i="39"/>
  <c r="F32" i="39"/>
  <c r="F106" i="39"/>
  <c r="G106" i="39" s="1"/>
  <c r="H106" i="39" s="1"/>
  <c r="I106" i="39" s="1"/>
  <c r="J106" i="39" s="1"/>
  <c r="K106" i="39" s="1"/>
  <c r="L106" i="39" s="1"/>
  <c r="M106" i="39" s="1"/>
  <c r="AB27" i="39"/>
  <c r="J21" i="39"/>
  <c r="W21" i="39" s="1"/>
  <c r="F21" i="39"/>
  <c r="G94" i="39"/>
  <c r="H21" i="39"/>
  <c r="U21" i="39" s="1"/>
  <c r="W19" i="39"/>
  <c r="U19" i="39"/>
  <c r="S17" i="39"/>
  <c r="AA12" i="39"/>
  <c r="S9" i="39"/>
  <c r="U14" i="39"/>
  <c r="U12" i="39"/>
  <c r="S23" i="36"/>
  <c r="U13" i="36"/>
  <c r="U26" i="36"/>
  <c r="AA34" i="36"/>
  <c r="AC26" i="36"/>
  <c r="AA22" i="36"/>
  <c r="W14" i="36"/>
  <c r="AB14" i="36"/>
  <c r="U22" i="36"/>
  <c r="S16" i="36"/>
  <c r="AA25" i="36"/>
  <c r="S24" i="36"/>
  <c r="U24" i="36"/>
  <c r="U23" i="36"/>
  <c r="AB20" i="36"/>
  <c r="U16" i="36"/>
  <c r="S14" i="36"/>
  <c r="AA25" i="35"/>
  <c r="S23" i="35"/>
  <c r="W24" i="35"/>
  <c r="AB13" i="35"/>
  <c r="U29" i="35"/>
  <c r="U28" i="35"/>
  <c r="AB27" i="35"/>
  <c r="U32" i="35"/>
  <c r="AC30" i="35"/>
  <c r="S32" i="35"/>
  <c r="AA36" i="35"/>
  <c r="S28" i="35"/>
  <c r="AB16" i="35"/>
  <c r="U22" i="35"/>
  <c r="S20" i="35"/>
  <c r="AC20" i="35"/>
  <c r="S22" i="35"/>
  <c r="U14" i="35"/>
  <c r="AA11" i="35"/>
  <c r="AC9" i="35"/>
  <c r="W9" i="35"/>
  <c r="F9" i="35"/>
  <c r="S9" i="35" s="1"/>
  <c r="H9" i="35"/>
  <c r="U9" i="35" s="1"/>
  <c r="AB40" i="37"/>
  <c r="W27" i="37"/>
  <c r="AC29" i="37"/>
  <c r="U29" i="37"/>
  <c r="AB31" i="37"/>
  <c r="W30" i="37"/>
  <c r="S36" i="37"/>
  <c r="AA38" i="37"/>
  <c r="AC35" i="37"/>
  <c r="S30" i="37"/>
  <c r="AC15" i="37"/>
  <c r="J17" i="37"/>
  <c r="G73" i="37"/>
  <c r="F17" i="37"/>
  <c r="AA17" i="37" s="1"/>
  <c r="AB17" i="37"/>
  <c r="F75" i="37"/>
  <c r="F19" i="37"/>
  <c r="S19" i="37" s="1"/>
  <c r="F79" i="37"/>
  <c r="G79" i="37" s="1"/>
  <c r="F23" i="37"/>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U15" i="34"/>
  <c r="S13" i="34"/>
  <c r="H10" i="34"/>
  <c r="AB10" i="34" s="1"/>
  <c r="F11" i="34"/>
  <c r="S11" i="34" s="1"/>
  <c r="F70" i="34"/>
  <c r="W42" i="33"/>
  <c r="AA35" i="33"/>
  <c r="S27" i="33"/>
  <c r="S32" i="33"/>
  <c r="AA29" i="33"/>
  <c r="AB29" i="33"/>
  <c r="W38" i="33"/>
  <c r="H41" i="33"/>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S25" i="33" s="1"/>
  <c r="J23" i="33"/>
  <c r="AC23" i="33" s="1"/>
  <c r="F85" i="33"/>
  <c r="G85" i="33" s="1"/>
  <c r="H23" i="33"/>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BA13" i="3"/>
  <c r="BL17" i="3"/>
  <c r="BL13" i="3"/>
  <c r="J56" i="9"/>
  <c r="J57" i="9" s="1"/>
  <c r="J59" i="9" s="1"/>
  <c r="J61" i="9" s="1"/>
  <c r="A24" i="51"/>
  <c r="B18" i="72" s="1"/>
  <c r="E5" i="6"/>
  <c r="E32" i="6"/>
  <c r="G1" i="68"/>
  <c r="K1" i="12"/>
  <c r="E19" i="69"/>
  <c r="E19" i="68"/>
  <c r="E19" i="11"/>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33" i="40"/>
  <c r="AA15" i="40"/>
  <c r="U11" i="40"/>
  <c r="S31" i="40"/>
  <c r="AB13" i="40"/>
  <c r="U15" i="40"/>
  <c r="AB17" i="40"/>
  <c r="U8" i="40"/>
  <c r="S8" i="40"/>
  <c r="AA39"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S24" i="35"/>
  <c r="U24" i="35"/>
  <c r="S35" i="35"/>
  <c r="W35" i="35"/>
  <c r="AA16" i="35"/>
  <c r="AA35" i="37"/>
  <c r="W36" i="37"/>
  <c r="S27" i="37"/>
  <c r="S28" i="37"/>
  <c r="W32" i="37"/>
  <c r="U38" i="37"/>
  <c r="AB37" i="37"/>
  <c r="AC34" i="37"/>
  <c r="AB35" i="37"/>
  <c r="U19" i="37"/>
  <c r="AA29" i="37"/>
  <c r="U8" i="37"/>
  <c r="AA40" i="34"/>
  <c r="AB40" i="34"/>
  <c r="U19" i="34"/>
  <c r="W19" i="34"/>
  <c r="AC45"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U32" i="34"/>
  <c r="AB32" i="34"/>
  <c r="U14" i="34"/>
  <c r="AB14" i="34"/>
  <c r="AC43" i="34"/>
  <c r="W43" i="34"/>
  <c r="W23" i="34"/>
  <c r="AC23" i="34"/>
  <c r="AC35" i="34"/>
  <c r="W35" i="34"/>
  <c r="AB28" i="33"/>
  <c r="W46" i="33"/>
  <c r="U39" i="33"/>
  <c r="U38" i="33"/>
  <c r="S33" i="33"/>
  <c r="AB34" i="33"/>
  <c r="U44" i="33"/>
  <c r="AB44" i="33"/>
  <c r="S30" i="33"/>
  <c r="AA30" i="33"/>
  <c r="AC14" i="33"/>
  <c r="W14" i="33"/>
  <c r="S31" i="33"/>
  <c r="AA31"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S46" i="21"/>
  <c r="H45" i="21"/>
  <c r="U45" i="21" s="1"/>
  <c r="F29" i="21"/>
  <c r="AA29" i="21" s="1"/>
  <c r="F13" i="21"/>
  <c r="AC38" i="21"/>
  <c r="H32" i="21"/>
  <c r="U32" i="21" s="1"/>
  <c r="H9" i="21"/>
  <c r="U9" i="21" s="1"/>
  <c r="J9" i="21"/>
  <c r="J32" i="21"/>
  <c r="W32" i="21" s="1"/>
  <c r="F32" i="21"/>
  <c r="AA32" i="21" s="1"/>
  <c r="AA31" i="21"/>
  <c r="U17" i="21"/>
  <c r="W29" i="21"/>
  <c r="S19" i="21"/>
  <c r="S9" i="21"/>
  <c r="AA9" i="21"/>
  <c r="K141" i="21"/>
  <c r="K144" i="21"/>
  <c r="K143" i="21"/>
  <c r="AB25" i="21"/>
  <c r="AB44" i="21"/>
  <c r="AA30" i="21"/>
  <c r="W13" i="21"/>
  <c r="AC45" i="21"/>
  <c r="F10" i="21"/>
  <c r="AA10" i="21" s="1"/>
  <c r="K145" i="21"/>
  <c r="W31" i="21"/>
  <c r="S27" i="21"/>
  <c r="S17" i="21"/>
  <c r="AA15"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1" i="12"/>
  <c r="F30" i="69"/>
  <c r="F48" i="69" s="1"/>
  <c r="S39" i="40"/>
  <c r="F54" i="9"/>
  <c r="J32" i="39"/>
  <c r="AC32" i="39" s="1"/>
  <c r="H32" i="39"/>
  <c r="AB32" i="39" s="1"/>
  <c r="AA32" i="39"/>
  <c r="S32" i="39"/>
  <c r="AB21" i="39"/>
  <c r="AA21" i="39"/>
  <c r="S21" i="39"/>
  <c r="J19" i="37"/>
  <c r="W19" i="37" s="1"/>
  <c r="G75" i="37"/>
  <c r="J23" i="37"/>
  <c r="W23" i="37" s="1"/>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AB25" i="33"/>
  <c r="AA25" i="33"/>
  <c r="J25" i="33"/>
  <c r="AB23" i="33"/>
  <c r="U23" i="33"/>
  <c r="F23" i="33"/>
  <c r="H19" i="33"/>
  <c r="U19" i="33" s="1"/>
  <c r="H17" i="33"/>
  <c r="U17" i="33" s="1"/>
  <c r="F17" i="33"/>
  <c r="AC17" i="33"/>
  <c r="S37" i="21"/>
  <c r="AA23" i="21"/>
  <c r="J23" i="21"/>
  <c r="AC23" i="21" s="1"/>
  <c r="F85" i="21"/>
  <c r="G85" i="21" s="1"/>
  <c r="H23" i="21"/>
  <c r="AB23" i="21" s="1"/>
  <c r="AP7" i="1"/>
  <c r="AB45" i="21"/>
  <c r="AB9" i="21"/>
  <c r="AB32" i="21"/>
  <c r="W32" i="39"/>
  <c r="J11" i="37"/>
  <c r="AC11" i="37" s="1"/>
  <c r="J11" i="34"/>
  <c r="W11" i="34" s="1"/>
  <c r="AB36" i="33"/>
  <c r="W25" i="33"/>
  <c r="AC25"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7" i="67"/>
  <c r="B10" i="76"/>
  <c r="M24" i="67"/>
  <c r="E9" i="76"/>
  <c r="F3" i="73"/>
  <c r="M22" i="15"/>
  <c r="F5" i="73"/>
  <c r="M8" i="67"/>
  <c r="F4" i="73"/>
  <c r="M29" i="67"/>
  <c r="F16" i="15"/>
  <c r="C76" i="67"/>
  <c r="F6" i="73"/>
  <c r="E11" i="76"/>
  <c r="F43" i="67"/>
  <c r="E2" i="68"/>
  <c r="E12" i="76"/>
  <c r="B13" i="76"/>
  <c r="F6" i="15"/>
  <c r="E2" i="69"/>
  <c r="E10" i="76"/>
  <c r="B11" i="76"/>
  <c r="D6" i="73"/>
  <c r="AO13" i="1"/>
  <c r="M26" i="67"/>
  <c r="M28" i="67"/>
  <c r="M9" i="67"/>
  <c r="M8" i="15"/>
  <c r="E7" i="76"/>
  <c r="F37" i="15"/>
  <c r="B7" i="76"/>
  <c r="L48" i="15"/>
  <c r="F8" i="67"/>
  <c r="B9" i="76"/>
  <c r="F13" i="67"/>
  <c r="E13" i="76"/>
  <c r="F36" i="67"/>
  <c r="F6" i="67"/>
  <c r="F38" i="67"/>
  <c r="F16" i="67"/>
  <c r="E8" i="76"/>
  <c r="F40" i="67"/>
  <c r="F20" i="31"/>
  <c r="B12" i="76"/>
  <c r="B8" i="76"/>
  <c r="M22" i="67"/>
  <c r="J15" i="67"/>
  <c r="M6" i="67"/>
  <c r="F7" i="73"/>
  <c r="J51" i="15" l="1"/>
  <c r="C40" i="11"/>
  <c r="W12" i="33"/>
  <c r="AC12" i="33"/>
  <c r="AB19" i="33"/>
  <c r="S32" i="21"/>
  <c r="AB15" i="21"/>
  <c r="AA31" i="34"/>
  <c r="U29" i="34"/>
  <c r="AB41" i="34"/>
  <c r="W38" i="37"/>
  <c r="W13" i="35"/>
  <c r="AB19" i="40"/>
  <c r="S23" i="40"/>
  <c r="U33" i="34"/>
  <c r="AA23" i="39"/>
  <c r="K85" i="43"/>
  <c r="D85" i="43" s="1"/>
  <c r="M85" i="43"/>
  <c r="N85" i="43" s="1"/>
  <c r="AZ355" i="3"/>
  <c r="AZ325" i="3"/>
  <c r="AZ549" i="3"/>
  <c r="S14" i="40"/>
  <c r="U11" i="33"/>
  <c r="AZ508" i="3"/>
  <c r="AZ541" i="3"/>
  <c r="AZ527" i="3"/>
  <c r="AZ510" i="3"/>
  <c r="U23" i="34"/>
  <c r="AB23" i="34"/>
  <c r="W27" i="35"/>
  <c r="U32" i="39"/>
  <c r="AA12" i="33"/>
  <c r="W25" i="21"/>
  <c r="W42" i="21"/>
  <c r="W30" i="21"/>
  <c r="AC17" i="21"/>
  <c r="AC13" i="33"/>
  <c r="W30" i="33"/>
  <c r="S40" i="37"/>
  <c r="U25" i="35"/>
  <c r="S13" i="40"/>
  <c r="S23" i="34"/>
  <c r="S32" i="37"/>
  <c r="AA26" i="36"/>
  <c r="U21" i="40"/>
  <c r="AB27" i="40"/>
  <c r="W28" i="37"/>
  <c r="U12" i="40"/>
  <c r="AZ364" i="3"/>
  <c r="AZ327" i="3"/>
  <c r="AZ509" i="3"/>
  <c r="AZ561" i="3"/>
  <c r="AZ512" i="3"/>
  <c r="AZ558" i="3"/>
  <c r="S44" i="34"/>
  <c r="B97" i="43"/>
  <c r="B75" i="43"/>
  <c r="W23" i="21"/>
  <c r="AA19" i="37"/>
  <c r="AC37" i="33"/>
  <c r="W33" i="34"/>
  <c r="U36" i="37"/>
  <c r="AC41" i="39"/>
  <c r="S42" i="33"/>
  <c r="AA33" i="35"/>
  <c r="AC13" i="39"/>
  <c r="S15" i="39"/>
  <c r="AA47" i="34"/>
  <c r="U13" i="37"/>
  <c r="AZ391" i="3"/>
  <c r="AZ373" i="3"/>
  <c r="AZ356" i="3"/>
  <c r="AZ347" i="3"/>
  <c r="AZ320" i="3"/>
  <c r="AZ394" i="3"/>
  <c r="AZ378" i="3"/>
  <c r="AZ515" i="3"/>
  <c r="AZ498" i="3"/>
  <c r="AZ522" i="3"/>
  <c r="AZ552" i="3"/>
  <c r="AZ576" i="3"/>
  <c r="AZ584" i="3"/>
  <c r="AA14" i="33"/>
  <c r="H9" i="33"/>
  <c r="H13" i="33"/>
  <c r="U13" i="33" s="1"/>
  <c r="F13" i="33"/>
  <c r="AC28" i="36"/>
  <c r="W28" i="36"/>
  <c r="B101" i="43"/>
  <c r="C25" i="39"/>
  <c r="J23" i="35"/>
  <c r="H23" i="35"/>
  <c r="S12" i="36"/>
  <c r="AA12" i="36"/>
  <c r="AC31" i="37"/>
  <c r="W31" i="37"/>
  <c r="AA44" i="39"/>
  <c r="S44" i="39"/>
  <c r="J39" i="40"/>
  <c r="H39" i="40"/>
  <c r="G556" i="3"/>
  <c r="U38" i="40"/>
  <c r="G585" i="3"/>
  <c r="BL586" i="3"/>
  <c r="AZ586" i="3" s="1"/>
  <c r="G566" i="3"/>
  <c r="G558" i="3"/>
  <c r="G398" i="3"/>
  <c r="G399" i="3"/>
  <c r="G404" i="3"/>
  <c r="G410" i="3"/>
  <c r="BL413" i="3"/>
  <c r="G415" i="3"/>
  <c r="G416" i="3"/>
  <c r="BL419" i="3"/>
  <c r="BA420" i="3"/>
  <c r="G424" i="3"/>
  <c r="G433" i="3"/>
  <c r="G434" i="3"/>
  <c r="BA434" i="3"/>
  <c r="G441" i="3"/>
  <c r="BL441" i="3"/>
  <c r="BL442" i="3"/>
  <c r="BA448" i="3"/>
  <c r="AZ448" i="3" s="1"/>
  <c r="BL451" i="3"/>
  <c r="BA457" i="3"/>
  <c r="G460" i="3"/>
  <c r="BL460" i="3"/>
  <c r="BL461" i="3"/>
  <c r="BA466" i="3"/>
  <c r="BL469" i="3"/>
  <c r="BL484" i="3"/>
  <c r="G492" i="3"/>
  <c r="BA319" i="3"/>
  <c r="AZ319" i="3" s="1"/>
  <c r="G351" i="3"/>
  <c r="BL367" i="3"/>
  <c r="BA368" i="3"/>
  <c r="BL368" i="3"/>
  <c r="BA374" i="3"/>
  <c r="AZ374" i="3" s="1"/>
  <c r="G384" i="3"/>
  <c r="BA212" i="3"/>
  <c r="G215" i="3"/>
  <c r="BA217" i="3"/>
  <c r="G220" i="3"/>
  <c r="BA225" i="3"/>
  <c r="G228" i="3"/>
  <c r="G229" i="3"/>
  <c r="BA229" i="3"/>
  <c r="AZ229" i="3" s="1"/>
  <c r="BL229" i="3"/>
  <c r="BL231" i="3"/>
  <c r="G233" i="3"/>
  <c r="BA235" i="3"/>
  <c r="AZ235" i="3" s="1"/>
  <c r="G241" i="3"/>
  <c r="BA248" i="3"/>
  <c r="BL254" i="3"/>
  <c r="G256" i="3"/>
  <c r="BL260" i="3"/>
  <c r="G262" i="3"/>
  <c r="BA272" i="3"/>
  <c r="AZ272" i="3" s="1"/>
  <c r="BA275" i="3"/>
  <c r="AZ275" i="3" s="1"/>
  <c r="BL400" i="3"/>
  <c r="BA419" i="3"/>
  <c r="BL423" i="3"/>
  <c r="BA424" i="3"/>
  <c r="BL428" i="3"/>
  <c r="BL429" i="3"/>
  <c r="BA438" i="3"/>
  <c r="BL445" i="3"/>
  <c r="BL446" i="3"/>
  <c r="BL448" i="3"/>
  <c r="BA453" i="3"/>
  <c r="BA455" i="3"/>
  <c r="AZ455" i="3" s="1"/>
  <c r="BA464" i="3"/>
  <c r="BL466" i="3"/>
  <c r="BA471" i="3"/>
  <c r="BA480" i="3"/>
  <c r="AZ480" i="3" s="1"/>
  <c r="BL480" i="3"/>
  <c r="G482" i="3"/>
  <c r="BA483" i="3"/>
  <c r="BL483" i="3"/>
  <c r="G486" i="3"/>
  <c r="BA489" i="3"/>
  <c r="BL490" i="3"/>
  <c r="G491" i="3"/>
  <c r="BL316" i="3"/>
  <c r="G362" i="3"/>
  <c r="BL365" i="3"/>
  <c r="AZ365" i="3" s="1"/>
  <c r="G366" i="3"/>
  <c r="G382" i="3"/>
  <c r="BA385" i="3"/>
  <c r="BA386" i="3"/>
  <c r="AZ386" i="3" s="1"/>
  <c r="G397" i="3"/>
  <c r="BL211" i="3"/>
  <c r="G213" i="3"/>
  <c r="BL219" i="3"/>
  <c r="BA220" i="3"/>
  <c r="BL224" i="3"/>
  <c r="G226" i="3"/>
  <c r="BA228" i="3"/>
  <c r="G231" i="3"/>
  <c r="BA233" i="3"/>
  <c r="AZ233" i="3" s="1"/>
  <c r="BL237" i="3"/>
  <c r="BL238" i="3"/>
  <c r="G239" i="3"/>
  <c r="G246" i="3"/>
  <c r="BA247" i="3"/>
  <c r="BL247" i="3"/>
  <c r="G250" i="3"/>
  <c r="BA251" i="3"/>
  <c r="BL251" i="3"/>
  <c r="G254" i="3"/>
  <c r="G260" i="3"/>
  <c r="BL267" i="3"/>
  <c r="BL270" i="3"/>
  <c r="G116" i="3"/>
  <c r="BB5" i="3"/>
  <c r="G400" i="3"/>
  <c r="BA402" i="3"/>
  <c r="AZ402" i="3" s="1"/>
  <c r="G407" i="3"/>
  <c r="G408" i="3"/>
  <c r="BL408" i="3"/>
  <c r="BL412" i="3"/>
  <c r="BA413" i="3"/>
  <c r="G417" i="3"/>
  <c r="BL417" i="3"/>
  <c r="BL418" i="3"/>
  <c r="BL420" i="3"/>
  <c r="G422" i="3"/>
  <c r="G423" i="3"/>
  <c r="BL427" i="3"/>
  <c r="BL430" i="3"/>
  <c r="G432" i="3"/>
  <c r="BA432" i="3"/>
  <c r="BA437" i="3"/>
  <c r="G444" i="3"/>
  <c r="G448" i="3"/>
  <c r="BA452" i="3"/>
  <c r="G456" i="3"/>
  <c r="BA459" i="3"/>
  <c r="BA463" i="3"/>
  <c r="G466" i="3"/>
  <c r="BA470" i="3"/>
  <c r="BL472" i="3"/>
  <c r="G473" i="3"/>
  <c r="BL479" i="3"/>
  <c r="G480" i="3"/>
  <c r="G485" i="3"/>
  <c r="BA487" i="3"/>
  <c r="BL488" i="3"/>
  <c r="G490" i="3"/>
  <c r="BA315" i="3"/>
  <c r="AZ315" i="3" s="1"/>
  <c r="BA331" i="3"/>
  <c r="AZ331" i="3" s="1"/>
  <c r="BA333" i="3"/>
  <c r="BL340" i="3"/>
  <c r="AZ340" i="3" s="1"/>
  <c r="BL381" i="3"/>
  <c r="AZ381" i="3" s="1"/>
  <c r="G387" i="3"/>
  <c r="BA388" i="3"/>
  <c r="AZ388" i="3" s="1"/>
  <c r="BL222" i="3"/>
  <c r="BL223" i="3"/>
  <c r="G224" i="3"/>
  <c r="BL230" i="3"/>
  <c r="BL235" i="3"/>
  <c r="BL236" i="3"/>
  <c r="G237" i="3"/>
  <c r="BL242" i="3"/>
  <c r="BL243" i="3"/>
  <c r="G244" i="3"/>
  <c r="BA250" i="3"/>
  <c r="BL259" i="3"/>
  <c r="G266" i="3"/>
  <c r="G276" i="3"/>
  <c r="BL280" i="3"/>
  <c r="G282" i="3"/>
  <c r="BA288" i="3"/>
  <c r="BA293" i="3"/>
  <c r="G295" i="3"/>
  <c r="BL298" i="3"/>
  <c r="BL299" i="3"/>
  <c r="G300" i="3"/>
  <c r="BL127" i="3"/>
  <c r="AZ127" i="3" s="1"/>
  <c r="G128" i="3"/>
  <c r="BA133" i="3"/>
  <c r="G136" i="3"/>
  <c r="D59" i="71"/>
  <c r="C60" i="71"/>
  <c r="D60" i="71" s="1"/>
  <c r="A15" i="62"/>
  <c r="B61" i="72" s="1"/>
  <c r="AZ400" i="3"/>
  <c r="AZ406" i="3"/>
  <c r="AZ270" i="3"/>
  <c r="G270" i="3"/>
  <c r="BL275" i="3"/>
  <c r="G277" i="3"/>
  <c r="G284" i="3"/>
  <c r="BL285" i="3"/>
  <c r="BA290" i="3"/>
  <c r="G292" i="3"/>
  <c r="G302" i="3"/>
  <c r="BL113" i="3"/>
  <c r="BL115" i="3"/>
  <c r="AZ115" i="3" s="1"/>
  <c r="BA118" i="3"/>
  <c r="AZ118" i="3" s="1"/>
  <c r="BL118" i="3"/>
  <c r="BL125" i="3"/>
  <c r="BL126" i="3"/>
  <c r="BA134" i="3"/>
  <c r="G138" i="3"/>
  <c r="BL138" i="3"/>
  <c r="BA140" i="3"/>
  <c r="AZ140" i="3" s="1"/>
  <c r="BA142" i="3"/>
  <c r="BL146" i="3"/>
  <c r="G150" i="3"/>
  <c r="BA168" i="3"/>
  <c r="AZ168" i="3" s="1"/>
  <c r="G172" i="3"/>
  <c r="BA173" i="3"/>
  <c r="BL175" i="3"/>
  <c r="AZ175" i="3" s="1"/>
  <c r="G176" i="3"/>
  <c r="BL185" i="3"/>
  <c r="G186" i="3"/>
  <c r="BL191" i="3"/>
  <c r="AZ191" i="3" s="1"/>
  <c r="G192" i="3"/>
  <c r="BA193" i="3"/>
  <c r="G202" i="3"/>
  <c r="G203" i="3"/>
  <c r="G206" i="3"/>
  <c r="BL206" i="3"/>
  <c r="BA18" i="3"/>
  <c r="G21" i="3"/>
  <c r="BL21" i="3"/>
  <c r="G23" i="3"/>
  <c r="G26" i="3"/>
  <c r="G27" i="3"/>
  <c r="BA27" i="3"/>
  <c r="G30" i="3"/>
  <c r="G31" i="3"/>
  <c r="BA43" i="3"/>
  <c r="BA47" i="3"/>
  <c r="G54" i="3"/>
  <c r="G55" i="3"/>
  <c r="G62" i="3"/>
  <c r="G63" i="3"/>
  <c r="G78" i="3"/>
  <c r="G89" i="3"/>
  <c r="BA90" i="3"/>
  <c r="BA92" i="3"/>
  <c r="BL93" i="3"/>
  <c r="G95" i="3"/>
  <c r="BA95" i="3"/>
  <c r="AC21" i="21"/>
  <c r="AB21" i="33"/>
  <c r="D55" i="71"/>
  <c r="AA3" i="71"/>
  <c r="BA137" i="3"/>
  <c r="BA145" i="3"/>
  <c r="G152" i="3"/>
  <c r="BL165" i="3"/>
  <c r="G166" i="3"/>
  <c r="BL167" i="3"/>
  <c r="AZ167" i="3" s="1"/>
  <c r="BL169" i="3"/>
  <c r="BL170" i="3"/>
  <c r="G171" i="3"/>
  <c r="G175" i="3"/>
  <c r="G180" i="3"/>
  <c r="BL195" i="3"/>
  <c r="AZ195" i="3" s="1"/>
  <c r="BA196" i="3"/>
  <c r="AZ196" i="3" s="1"/>
  <c r="BL205" i="3"/>
  <c r="G20" i="3"/>
  <c r="BA30" i="3"/>
  <c r="G49" i="3"/>
  <c r="BA55" i="3"/>
  <c r="BA62" i="3"/>
  <c r="G65" i="3"/>
  <c r="BL86" i="3"/>
  <c r="G87" i="3"/>
  <c r="BL91" i="3"/>
  <c r="G93" i="3"/>
  <c r="BA94" i="3"/>
  <c r="G112" i="3"/>
  <c r="BL112" i="3"/>
  <c r="P27" i="6"/>
  <c r="D54" i="71"/>
  <c r="E39" i="71"/>
  <c r="E40" i="71" s="1"/>
  <c r="U40" i="71" s="1"/>
  <c r="Y38" i="71"/>
  <c r="Z38" i="71" s="1"/>
  <c r="E47" i="71"/>
  <c r="E48" i="71" s="1"/>
  <c r="U48" i="71" s="1"/>
  <c r="B59" i="71"/>
  <c r="B60" i="71" s="1"/>
  <c r="S60" i="71" s="1"/>
  <c r="F67" i="71"/>
  <c r="F66" i="71" s="1"/>
  <c r="B71" i="71"/>
  <c r="B70" i="71" s="1"/>
  <c r="S76" i="71"/>
  <c r="C74" i="71"/>
  <c r="D74" i="71" s="1"/>
  <c r="D76" i="71"/>
  <c r="Q68" i="71"/>
  <c r="E51" i="71"/>
  <c r="E52" i="71" s="1"/>
  <c r="U52" i="71" s="1"/>
  <c r="S68" i="71"/>
  <c r="BA286" i="3"/>
  <c r="BA291" i="3"/>
  <c r="BA120" i="3"/>
  <c r="AZ120" i="3" s="1"/>
  <c r="G135" i="3"/>
  <c r="BL154" i="3"/>
  <c r="BA156" i="3"/>
  <c r="AZ156" i="3" s="1"/>
  <c r="BL173" i="3"/>
  <c r="BA174" i="3"/>
  <c r="BL178" i="3"/>
  <c r="BA180" i="3"/>
  <c r="AZ180" i="3" s="1"/>
  <c r="BL182" i="3"/>
  <c r="BL186" i="3"/>
  <c r="BA194" i="3"/>
  <c r="G199" i="3"/>
  <c r="G32" i="3"/>
  <c r="BA40" i="3"/>
  <c r="G48" i="3"/>
  <c r="BA48" i="3"/>
  <c r="BA49" i="3"/>
  <c r="G52" i="3"/>
  <c r="BA52" i="3"/>
  <c r="AZ52" i="3" s="1"/>
  <c r="BA56" i="3"/>
  <c r="BA57" i="3"/>
  <c r="BL58" i="3"/>
  <c r="G60" i="3"/>
  <c r="BA60" i="3"/>
  <c r="BA66" i="3"/>
  <c r="BL67" i="3"/>
  <c r="BA71" i="3"/>
  <c r="BL72" i="3"/>
  <c r="BA77" i="3"/>
  <c r="BL100" i="3"/>
  <c r="AZ100" i="3" s="1"/>
  <c r="BA111" i="3"/>
  <c r="AC21" i="33"/>
  <c r="S18" i="36"/>
  <c r="AB28" i="71"/>
  <c r="M20" i="67"/>
  <c r="F34" i="67"/>
  <c r="F62" i="67" s="1"/>
  <c r="D68" i="9"/>
  <c r="F32" i="67"/>
  <c r="F60" i="67" s="1"/>
  <c r="M18" i="15"/>
  <c r="M18" i="67"/>
  <c r="F30" i="11"/>
  <c r="C48" i="11" s="1"/>
  <c r="F28" i="15"/>
  <c r="F28" i="67"/>
  <c r="F32" i="15"/>
  <c r="F60" i="15" s="1"/>
  <c r="F52" i="9"/>
  <c r="F30" i="68"/>
  <c r="F48" i="68" s="1"/>
  <c r="C40" i="69"/>
  <c r="G22" i="11"/>
  <c r="G22" i="69"/>
  <c r="G26" i="12"/>
  <c r="G22" i="68"/>
  <c r="AC27" i="40"/>
  <c r="W27" i="40"/>
  <c r="AZ499" i="3"/>
  <c r="S17" i="33"/>
  <c r="AA17" i="33"/>
  <c r="U27" i="33"/>
  <c r="AB27" i="33"/>
  <c r="AC30" i="40"/>
  <c r="W30" i="40"/>
  <c r="AZ342" i="3"/>
  <c r="W9" i="21"/>
  <c r="AC9" i="21"/>
  <c r="U23" i="21"/>
  <c r="S23" i="37"/>
  <c r="AA23" i="37"/>
  <c r="AA13" i="21"/>
  <c r="S13" i="21"/>
  <c r="AB32" i="37"/>
  <c r="U32" i="37"/>
  <c r="W17" i="37"/>
  <c r="AC17" i="37"/>
  <c r="AA19" i="33"/>
  <c r="AC15" i="21"/>
  <c r="D121" i="9"/>
  <c r="D7" i="52" s="1"/>
  <c r="D6" i="52"/>
  <c r="AZ497" i="3"/>
  <c r="AC11" i="39"/>
  <c r="AZ345" i="3"/>
  <c r="AZ372" i="3"/>
  <c r="AZ337" i="3"/>
  <c r="AZ376" i="3"/>
  <c r="AZ309" i="3"/>
  <c r="AZ571" i="3"/>
  <c r="AZ579" i="3"/>
  <c r="BL587" i="3"/>
  <c r="AZ587" i="3" s="1"/>
  <c r="J36" i="35"/>
  <c r="AC36" i="35" s="1"/>
  <c r="H36" i="35"/>
  <c r="H31" i="39"/>
  <c r="J31" i="39"/>
  <c r="AA31" i="35"/>
  <c r="S31" i="35"/>
  <c r="H69" i="43"/>
  <c r="AC27" i="33"/>
  <c r="AC23" i="37"/>
  <c r="S17" i="37"/>
  <c r="AA31" i="37"/>
  <c r="S37" i="37"/>
  <c r="AA19" i="40"/>
  <c r="AZ387" i="3"/>
  <c r="AZ362" i="3"/>
  <c r="AZ338" i="3"/>
  <c r="AZ390" i="3"/>
  <c r="AZ371" i="3"/>
  <c r="AZ351" i="3"/>
  <c r="AZ336" i="3"/>
  <c r="AZ305" i="3"/>
  <c r="AZ360" i="3"/>
  <c r="W40" i="37"/>
  <c r="AC31" i="33"/>
  <c r="AZ539" i="3"/>
  <c r="AZ529" i="3"/>
  <c r="AZ537" i="3"/>
  <c r="AZ518" i="3"/>
  <c r="AZ526" i="3"/>
  <c r="AZ546" i="3"/>
  <c r="AZ564" i="3"/>
  <c r="AZ580" i="3"/>
  <c r="S11" i="36"/>
  <c r="AB26" i="33"/>
  <c r="S28" i="34"/>
  <c r="J27" i="21"/>
  <c r="H27" i="21"/>
  <c r="B72" i="43"/>
  <c r="C15" i="39"/>
  <c r="J12" i="34"/>
  <c r="H12" i="34"/>
  <c r="F12" i="34"/>
  <c r="S12" i="34" s="1"/>
  <c r="H12" i="36"/>
  <c r="J12" i="36"/>
  <c r="H33" i="36"/>
  <c r="F33" i="36"/>
  <c r="AB31" i="36"/>
  <c r="U31" i="36"/>
  <c r="S43" i="34"/>
  <c r="U25" i="39"/>
  <c r="AZ14" i="3"/>
  <c r="S15" i="37"/>
  <c r="F29" i="6"/>
  <c r="AZ318" i="3"/>
  <c r="AZ304" i="3"/>
  <c r="AZ306" i="3"/>
  <c r="W35" i="40"/>
  <c r="AZ535" i="3"/>
  <c r="AZ577" i="3"/>
  <c r="AZ557" i="3"/>
  <c r="AZ513" i="3"/>
  <c r="AZ575" i="3"/>
  <c r="AZ566" i="3"/>
  <c r="AZ582" i="3"/>
  <c r="AZ540" i="3"/>
  <c r="AZ502" i="3"/>
  <c r="S45" i="33"/>
  <c r="U46" i="33"/>
  <c r="AC11" i="40"/>
  <c r="BL585" i="3"/>
  <c r="AZ585" i="3" s="1"/>
  <c r="AA40" i="21"/>
  <c r="S40" i="21"/>
  <c r="B79" i="43"/>
  <c r="H25" i="37"/>
  <c r="F25" i="37"/>
  <c r="U8" i="39"/>
  <c r="AB8" i="39"/>
  <c r="S9" i="40"/>
  <c r="AA9" i="40"/>
  <c r="AA25" i="21"/>
  <c r="AZ568" i="3"/>
  <c r="AA14" i="34"/>
  <c r="S29" i="35"/>
  <c r="AA29" i="35"/>
  <c r="U17" i="34"/>
  <c r="AB17" i="34"/>
  <c r="J26" i="33"/>
  <c r="AC8" i="34"/>
  <c r="W8" i="34"/>
  <c r="J37" i="39"/>
  <c r="F37" i="39"/>
  <c r="U39" i="40"/>
  <c r="AB39" i="40"/>
  <c r="AC31" i="40"/>
  <c r="W31" i="40"/>
  <c r="J36" i="39"/>
  <c r="AC36" i="39" s="1"/>
  <c r="F36" i="39"/>
  <c r="BL550" i="3"/>
  <c r="F9" i="34"/>
  <c r="AA9" i="34" s="1"/>
  <c r="J9" i="34"/>
  <c r="J39" i="37"/>
  <c r="F39" i="37"/>
  <c r="S39" i="37" s="1"/>
  <c r="H44" i="39"/>
  <c r="J44" i="39"/>
  <c r="AZ419" i="3"/>
  <c r="AZ487" i="3"/>
  <c r="G574"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L431" i="3"/>
  <c r="BL434" i="3"/>
  <c r="BL438" i="3"/>
  <c r="BL439" i="3"/>
  <c r="BL443" i="3"/>
  <c r="AZ443" i="3" s="1"/>
  <c r="BA446" i="3"/>
  <c r="AZ451" i="3"/>
  <c r="BL452" i="3"/>
  <c r="BA458" i="3"/>
  <c r="AZ458" i="3" s="1"/>
  <c r="BL463" i="3"/>
  <c r="AZ469" i="3"/>
  <c r="BL470" i="3"/>
  <c r="BA303" i="3"/>
  <c r="AZ303" i="3" s="1"/>
  <c r="BA307" i="3"/>
  <c r="AZ307" i="3" s="1"/>
  <c r="BL350" i="3"/>
  <c r="BA353" i="3"/>
  <c r="BL353" i="3"/>
  <c r="BA358" i="3"/>
  <c r="AZ358" i="3" s="1"/>
  <c r="BL395" i="3"/>
  <c r="BA216" i="3"/>
  <c r="AZ216" i="3" s="1"/>
  <c r="BA231" i="3"/>
  <c r="BL289" i="3"/>
  <c r="G587" i="3"/>
  <c r="J12" i="35"/>
  <c r="BA551" i="3"/>
  <c r="AZ551" i="3" s="1"/>
  <c r="BA550" i="3"/>
  <c r="AZ550" i="3" s="1"/>
  <c r="BL548" i="3"/>
  <c r="AZ548" i="3" s="1"/>
  <c r="BL16" i="3"/>
  <c r="AZ16" i="3" s="1"/>
  <c r="BA401" i="3"/>
  <c r="BA403" i="3"/>
  <c r="BA404" i="3"/>
  <c r="AZ404" i="3" s="1"/>
  <c r="BA405" i="3"/>
  <c r="G409" i="3"/>
  <c r="BL410" i="3"/>
  <c r="G412" i="3"/>
  <c r="G418" i="3"/>
  <c r="G419" i="3"/>
  <c r="BA422" i="3"/>
  <c r="AZ422" i="3" s="1"/>
  <c r="G429" i="3"/>
  <c r="G430" i="3"/>
  <c r="BL440" i="3"/>
  <c r="G442" i="3"/>
  <c r="BL444" i="3"/>
  <c r="AZ444" i="3" s="1"/>
  <c r="G446" i="3"/>
  <c r="G447" i="3"/>
  <c r="BL449" i="3"/>
  <c r="BL450" i="3"/>
  <c r="BA456" i="3"/>
  <c r="BL457" i="3"/>
  <c r="AZ457" i="3" s="1"/>
  <c r="BA462" i="3"/>
  <c r="AZ462" i="3" s="1"/>
  <c r="BL464" i="3"/>
  <c r="AZ464" i="3" s="1"/>
  <c r="BL467" i="3"/>
  <c r="BL468" i="3"/>
  <c r="BA473" i="3"/>
  <c r="AZ473" i="3" s="1"/>
  <c r="BA486" i="3"/>
  <c r="BL308" i="3"/>
  <c r="AZ308" i="3" s="1"/>
  <c r="BL317" i="3"/>
  <c r="G318" i="3"/>
  <c r="BA349" i="3"/>
  <c r="AZ349" i="3" s="1"/>
  <c r="BL359" i="3"/>
  <c r="AZ359" i="3" s="1"/>
  <c r="BA367" i="3"/>
  <c r="AZ367" i="3" s="1"/>
  <c r="BA370" i="3"/>
  <c r="AZ370" i="3" s="1"/>
  <c r="BA209" i="3"/>
  <c r="BL252" i="3"/>
  <c r="BA260" i="3"/>
  <c r="BA125" i="3"/>
  <c r="AZ125" i="3" s="1"/>
  <c r="AZ483" i="3"/>
  <c r="C47" i="71"/>
  <c r="D47" i="71" s="1"/>
  <c r="D46" i="71"/>
  <c r="N67" i="71"/>
  <c r="B66" i="71"/>
  <c r="T72" i="71"/>
  <c r="C71" i="71"/>
  <c r="D72"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3" i="3"/>
  <c r="AZ433" i="3" s="1"/>
  <c r="BA435" i="3"/>
  <c r="BL437" i="3"/>
  <c r="AZ437" i="3" s="1"/>
  <c r="G439" i="3"/>
  <c r="G440" i="3"/>
  <c r="BA441" i="3"/>
  <c r="AZ441" i="3" s="1"/>
  <c r="BL447" i="3"/>
  <c r="BA450" i="3"/>
  <c r="BA454" i="3"/>
  <c r="BL456" i="3"/>
  <c r="G459" i="3"/>
  <c r="BA460" i="3"/>
  <c r="AZ460" i="3" s="1"/>
  <c r="BA461" i="3"/>
  <c r="AZ461" i="3" s="1"/>
  <c r="BL465" i="3"/>
  <c r="BL473" i="3"/>
  <c r="BL474" i="3"/>
  <c r="BA482" i="3"/>
  <c r="BA484" i="3"/>
  <c r="AZ484" i="3" s="1"/>
  <c r="BL487" i="3"/>
  <c r="G488" i="3"/>
  <c r="BL489" i="3"/>
  <c r="BL491" i="3"/>
  <c r="BL492" i="3"/>
  <c r="G307" i="3"/>
  <c r="BL314" i="3"/>
  <c r="AZ314" i="3" s="1"/>
  <c r="BA332" i="3"/>
  <c r="BL332" i="3"/>
  <c r="AZ228" i="3"/>
  <c r="Y37" i="71"/>
  <c r="Z37" i="71" s="1"/>
  <c r="C38" i="71"/>
  <c r="X35" i="71"/>
  <c r="X25" i="71"/>
  <c r="X38" i="71"/>
  <c r="B39" i="71"/>
  <c r="B40" i="71" s="1"/>
  <c r="S40" i="71" s="1"/>
  <c r="X31" i="71"/>
  <c r="X34" i="71"/>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4" i="3"/>
  <c r="BL137" i="3"/>
  <c r="AZ137" i="3" s="1"/>
  <c r="BA160" i="3"/>
  <c r="AZ160" i="3" s="1"/>
  <c r="BA162" i="3"/>
  <c r="AZ162" i="3" s="1"/>
  <c r="BL166" i="3"/>
  <c r="BA185" i="3"/>
  <c r="BL193" i="3"/>
  <c r="BA205" i="3"/>
  <c r="AZ205" i="3" s="1"/>
  <c r="BL30" i="3"/>
  <c r="BL31" i="3"/>
  <c r="BL40" i="3"/>
  <c r="BL41" i="3"/>
  <c r="BA51" i="3"/>
  <c r="BL62" i="3"/>
  <c r="AZ62" i="3" s="1"/>
  <c r="BL63" i="3"/>
  <c r="BL69" i="3"/>
  <c r="BL74" i="3"/>
  <c r="BL75" i="3"/>
  <c r="BA109" i="3"/>
  <c r="B100" i="43"/>
  <c r="B77" i="43"/>
  <c r="C29" i="39"/>
  <c r="B57" i="43"/>
  <c r="B68" i="4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A149" i="3"/>
  <c r="BA150" i="3"/>
  <c r="AC18" i="36"/>
  <c r="W18" i="36"/>
  <c r="BL432" i="3"/>
  <c r="AZ432" i="3" s="1"/>
  <c r="BL435" i="3"/>
  <c r="BL436" i="3"/>
  <c r="BA439" i="3"/>
  <c r="BA440" i="3"/>
  <c r="AZ440" i="3" s="1"/>
  <c r="BA442" i="3"/>
  <c r="AZ442" i="3" s="1"/>
  <c r="BA445" i="3"/>
  <c r="BA447" i="3"/>
  <c r="AZ447" i="3" s="1"/>
  <c r="BA449" i="3"/>
  <c r="BL453" i="3"/>
  <c r="AZ453" i="3" s="1"/>
  <c r="BL454" i="3"/>
  <c r="G458" i="3"/>
  <c r="BL459" i="3"/>
  <c r="AZ459" i="3" s="1"/>
  <c r="G461" i="3"/>
  <c r="G462" i="3"/>
  <c r="BA465" i="3"/>
  <c r="AZ465" i="3" s="1"/>
  <c r="BA467" i="3"/>
  <c r="BA468" i="3"/>
  <c r="AZ468" i="3" s="1"/>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AZ226" i="3" s="1"/>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7" i="3"/>
  <c r="BA130" i="3"/>
  <c r="BL130" i="3"/>
  <c r="G144" i="3"/>
  <c r="BA146" i="3"/>
  <c r="AZ146" i="3" s="1"/>
  <c r="BL149" i="3"/>
  <c r="BL150" i="3"/>
  <c r="BA152" i="3"/>
  <c r="AZ152" i="3" s="1"/>
  <c r="BA154" i="3"/>
  <c r="AZ154" i="3" s="1"/>
  <c r="BL161" i="3"/>
  <c r="BL179" i="3"/>
  <c r="AZ179" i="3" s="1"/>
  <c r="BA181" i="3"/>
  <c r="AZ181" i="3" s="1"/>
  <c r="BA182" i="3"/>
  <c r="AZ182" i="3" s="1"/>
  <c r="BL194" i="3"/>
  <c r="AZ194" i="3" s="1"/>
  <c r="BA198" i="3"/>
  <c r="AZ198" i="3" s="1"/>
  <c r="BL23" i="3"/>
  <c r="BA26" i="3"/>
  <c r="BL28" i="3"/>
  <c r="BA29" i="3"/>
  <c r="BA36" i="3"/>
  <c r="BL38" i="3"/>
  <c r="BA39" i="3"/>
  <c r="BL47" i="3"/>
  <c r="AZ47" i="3" s="1"/>
  <c r="BL64" i="3"/>
  <c r="BA67" i="3"/>
  <c r="AZ67" i="3" s="1"/>
  <c r="BA68" i="3"/>
  <c r="BA72" i="3"/>
  <c r="AZ72" i="3" s="1"/>
  <c r="BA73" i="3"/>
  <c r="BA105" i="3"/>
  <c r="AZ105" i="3" s="1"/>
  <c r="BA106" i="3"/>
  <c r="BL108" i="3"/>
  <c r="U25" i="40"/>
  <c r="AB29" i="39"/>
  <c r="U29" i="39"/>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L20" i="3"/>
  <c r="BA21" i="3"/>
  <c r="AZ21" i="3" s="1"/>
  <c r="BL24" i="3"/>
  <c r="G25" i="3"/>
  <c r="G29" i="3"/>
  <c r="BL29" i="3"/>
  <c r="G33" i="3"/>
  <c r="G34" i="3"/>
  <c r="BL44" i="3"/>
  <c r="G45" i="3"/>
  <c r="BL45" i="3"/>
  <c r="AZ45" i="3" s="1"/>
  <c r="BL49" i="3"/>
  <c r="AZ49" i="3" s="1"/>
  <c r="BL50" i="3"/>
  <c r="AZ50" i="3" s="1"/>
  <c r="BL51" i="3"/>
  <c r="G53" i="3"/>
  <c r="BL53" i="3"/>
  <c r="AZ53" i="3" s="1"/>
  <c r="BL57" i="3"/>
  <c r="AZ57" i="3" s="1"/>
  <c r="G59" i="3"/>
  <c r="BA65" i="3"/>
  <c r="BL70" i="3"/>
  <c r="BL71" i="3"/>
  <c r="AZ71" i="3" s="1"/>
  <c r="BL82" i="3"/>
  <c r="G83" i="3"/>
  <c r="BA84" i="3"/>
  <c r="BL88" i="3"/>
  <c r="AZ88" i="3" s="1"/>
  <c r="G90" i="3"/>
  <c r="BL90" i="3"/>
  <c r="G98" i="3"/>
  <c r="G99" i="3"/>
  <c r="BL103" i="3"/>
  <c r="AZ103" i="3" s="1"/>
  <c r="BA104" i="3"/>
  <c r="G108" i="3"/>
  <c r="G109" i="3"/>
  <c r="F40" i="68"/>
  <c r="C21" i="68"/>
  <c r="W21" i="37"/>
  <c r="AC21" i="37"/>
  <c r="C25" i="40"/>
  <c r="B88" i="43"/>
  <c r="S18" i="35"/>
  <c r="AA18" i="35"/>
  <c r="AA34" i="71"/>
  <c r="BA153" i="3"/>
  <c r="BL155" i="3"/>
  <c r="AZ155" i="3" s="1"/>
  <c r="BA164" i="3"/>
  <c r="AZ164" i="3" s="1"/>
  <c r="BA166" i="3"/>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G18" i="3"/>
  <c r="BA19" i="3"/>
  <c r="G22" i="3"/>
  <c r="BA25" i="3"/>
  <c r="BL34" i="3"/>
  <c r="G35" i="3"/>
  <c r="BA37" i="3"/>
  <c r="G39" i="3"/>
  <c r="BL39" i="3"/>
  <c r="G43" i="3"/>
  <c r="G44" i="3"/>
  <c r="G56" i="3"/>
  <c r="BL56" i="3"/>
  <c r="AZ56" i="3" s="1"/>
  <c r="BA58" i="3"/>
  <c r="AZ58" i="3" s="1"/>
  <c r="BL59" i="3"/>
  <c r="BL60" i="3"/>
  <c r="BA61" i="3"/>
  <c r="BA63" i="3"/>
  <c r="AZ63" i="3" s="1"/>
  <c r="BL65" i="3"/>
  <c r="BL66" i="3"/>
  <c r="AZ66" i="3" s="1"/>
  <c r="BA70" i="3"/>
  <c r="AZ70" i="3" s="1"/>
  <c r="G76" i="3"/>
  <c r="BL77" i="3"/>
  <c r="AZ77" i="3" s="1"/>
  <c r="BL81" i="3"/>
  <c r="BA82" i="3"/>
  <c r="AZ82" i="3" s="1"/>
  <c r="G111" i="3"/>
  <c r="E28" i="71"/>
  <c r="AA27" i="71"/>
  <c r="AA28" i="71"/>
  <c r="B27" i="71"/>
  <c r="B26" i="71" s="1"/>
  <c r="S28" i="71"/>
  <c r="Y29" i="71"/>
  <c r="Z29" i="71" s="1"/>
  <c r="Y30" i="71"/>
  <c r="Z30" i="71" s="1"/>
  <c r="Y27" i="71"/>
  <c r="Z27" i="71" s="1"/>
  <c r="AC29" i="39"/>
  <c r="W29" i="39"/>
  <c r="C31" i="71"/>
  <c r="Y26" i="71"/>
  <c r="Z26" i="71" s="1"/>
  <c r="C28" i="71"/>
  <c r="Y28" i="71"/>
  <c r="Z28" i="71" s="1"/>
  <c r="Y25" i="71"/>
  <c r="Z25" i="71" s="1"/>
  <c r="C51" i="71"/>
  <c r="D56" i="71"/>
  <c r="T56" i="71"/>
  <c r="T80" i="71"/>
  <c r="C79" i="71"/>
  <c r="BL207" i="3"/>
  <c r="BL18" i="3"/>
  <c r="AZ18" i="3" s="1"/>
  <c r="G19" i="3"/>
  <c r="BL19" i="3"/>
  <c r="BA20" i="3"/>
  <c r="BL25" i="3"/>
  <c r="BL27" i="3"/>
  <c r="AZ27" i="3" s="1"/>
  <c r="BA28" i="3"/>
  <c r="BA31" i="3"/>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BA75" i="3"/>
  <c r="AZ75" i="3" s="1"/>
  <c r="BA78" i="3"/>
  <c r="BA80" i="3"/>
  <c r="G84" i="3"/>
  <c r="BL84" i="3"/>
  <c r="BA89" i="3"/>
  <c r="BL92" i="3"/>
  <c r="BL94" i="3"/>
  <c r="AZ94" i="3" s="1"/>
  <c r="BL99" i="3"/>
  <c r="G101" i="3"/>
  <c r="BA101" i="3"/>
  <c r="BA102" i="3"/>
  <c r="BL110" i="3"/>
  <c r="BL111" i="3"/>
  <c r="AZ111" i="3" s="1"/>
  <c r="AA21" i="37"/>
  <c r="S21" i="37"/>
  <c r="P65" i="71"/>
  <c r="P66" i="71"/>
  <c r="F34" i="71"/>
  <c r="F35" i="71" s="1"/>
  <c r="F36" i="71" s="1"/>
  <c r="V36" i="71" s="1"/>
  <c r="AB33" i="71"/>
  <c r="AA35" i="71"/>
  <c r="Y35" i="71"/>
  <c r="Z35" i="71" s="1"/>
  <c r="AA38" i="71"/>
  <c r="AA39" i="71"/>
  <c r="AA37" i="71"/>
  <c r="C64" i="71"/>
  <c r="D64" i="71" s="1"/>
  <c r="D63" i="71"/>
  <c r="U76" i="71"/>
  <c r="E75" i="71"/>
  <c r="E74" i="71" s="1"/>
  <c r="D84" i="71"/>
  <c r="C83" i="71"/>
  <c r="F27" i="71"/>
  <c r="F26" i="71" s="1"/>
  <c r="AB27" i="71"/>
  <c r="AB26" i="71"/>
  <c r="G81" i="3"/>
  <c r="G85" i="3"/>
  <c r="BL85" i="3"/>
  <c r="BA86" i="3"/>
  <c r="AZ86" i="3" s="1"/>
  <c r="BA87" i="3"/>
  <c r="BA91" i="3"/>
  <c r="AZ91" i="3" s="1"/>
  <c r="G96" i="3"/>
  <c r="BL97" i="3"/>
  <c r="AZ97" i="3" s="1"/>
  <c r="BL101" i="3"/>
  <c r="BL102" i="3"/>
  <c r="G104" i="3"/>
  <c r="G105" i="3"/>
  <c r="BL106" i="3"/>
  <c r="BA108" i="3"/>
  <c r="AZ108" i="3" s="1"/>
  <c r="BA110" i="3"/>
  <c r="AZ110" i="3" s="1"/>
  <c r="F3" i="35"/>
  <c r="S25" i="40"/>
  <c r="T60" i="71"/>
  <c r="O66" i="71"/>
  <c r="O67" i="71"/>
  <c r="C87" i="71"/>
  <c r="E79" i="71"/>
  <c r="E78" i="71" s="1"/>
  <c r="AB25" i="71"/>
  <c r="C43" i="71"/>
  <c r="X26" i="71"/>
  <c r="C35" i="71"/>
  <c r="N68" i="71"/>
  <c r="AB32" i="71"/>
  <c r="X33" i="71"/>
  <c r="AB37" i="71"/>
  <c r="V80" i="71"/>
  <c r="X28" i="71"/>
  <c r="X32" i="71"/>
  <c r="E23" i="71"/>
  <c r="E22" i="71" s="1"/>
  <c r="E21" i="71" s="1"/>
  <c r="E20" i="71" s="1"/>
  <c r="D66" i="71"/>
  <c r="Q67" i="71"/>
  <c r="X36" i="71"/>
  <c r="AA30" i="71"/>
  <c r="B32" i="71"/>
  <c r="S32" i="71" s="1"/>
  <c r="AB34" i="71"/>
  <c r="AB31" i="71"/>
  <c r="AB36" i="71"/>
  <c r="AA36" i="71"/>
  <c r="B47" i="71"/>
  <c r="B48" i="71" s="1"/>
  <c r="S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48" i="3"/>
  <c r="AZ68" i="3"/>
  <c r="AZ106" i="3"/>
  <c r="G200" i="3"/>
  <c r="G207" i="3"/>
  <c r="BA23" i="3"/>
  <c r="AZ23" i="3" s="1"/>
  <c r="BA24" i="3"/>
  <c r="AZ24" i="3" s="1"/>
  <c r="BL26" i="3"/>
  <c r="AZ26" i="3" s="1"/>
  <c r="BL32" i="3"/>
  <c r="BA34" i="3"/>
  <c r="AZ34" i="3" s="1"/>
  <c r="BA35" i="3"/>
  <c r="AZ35" i="3" s="1"/>
  <c r="BL37" i="3"/>
  <c r="AZ37" i="3" s="1"/>
  <c r="BL42" i="3"/>
  <c r="BA44" i="3"/>
  <c r="AZ44" i="3" s="1"/>
  <c r="AZ4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K14" i="1" s="1"/>
  <c r="K16"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J53" i="15"/>
  <c r="L56" i="15" s="1"/>
  <c r="J57" i="15"/>
  <c r="J55" i="15" s="1"/>
  <c r="J58" i="15" s="1"/>
  <c r="Q50" i="15" s="1"/>
  <c r="I54" i="15"/>
  <c r="B20" i="31"/>
  <c r="B21" i="31" s="1"/>
  <c r="I1" i="73"/>
  <c r="B39" i="1" s="1"/>
  <c r="F51" i="67"/>
  <c r="F65" i="67"/>
  <c r="F66" i="67"/>
  <c r="Q71" i="67"/>
  <c r="F71" i="67"/>
  <c r="F65" i="15"/>
  <c r="B13" i="70"/>
  <c r="F68" i="67"/>
  <c r="F64" i="67"/>
  <c r="C36" i="68"/>
  <c r="D9" i="69"/>
  <c r="C36" i="69"/>
  <c r="D9" i="68"/>
  <c r="M26" i="15"/>
  <c r="C16" i="15"/>
  <c r="D7" i="73"/>
  <c r="C76" i="15"/>
  <c r="F42" i="67"/>
  <c r="M29" i="15"/>
  <c r="M23" i="15"/>
  <c r="F8" i="15"/>
  <c r="L47" i="67"/>
  <c r="F36" i="15"/>
  <c r="F9" i="67"/>
  <c r="D4" i="73"/>
  <c r="C16" i="67"/>
  <c r="M9" i="15"/>
  <c r="F26" i="15"/>
  <c r="D3" i="73"/>
  <c r="L48" i="67"/>
  <c r="F7" i="67"/>
  <c r="L47" i="15"/>
  <c r="F13" i="15"/>
  <c r="M28" i="15"/>
  <c r="F38" i="15"/>
  <c r="J15" i="15"/>
  <c r="F7" i="15"/>
  <c r="M6" i="15"/>
  <c r="D5" i="73"/>
  <c r="M24" i="15"/>
  <c r="M23" i="67"/>
  <c r="F43" i="15"/>
  <c r="F26" i="67"/>
  <c r="F9" i="15"/>
  <c r="F40" i="15"/>
  <c r="F42" i="15"/>
  <c r="M7" i="15" l="1"/>
  <c r="J6" i="15" s="1"/>
  <c r="F50" i="15"/>
  <c r="L58" i="15"/>
  <c r="Q73" i="15" s="1"/>
  <c r="L59" i="15"/>
  <c r="Q61" i="15" s="1"/>
  <c r="N59" i="15"/>
  <c r="M59" i="15"/>
  <c r="F68" i="15"/>
  <c r="F66" i="15"/>
  <c r="F71" i="15"/>
  <c r="C6" i="15"/>
  <c r="C32" i="15" s="1"/>
  <c r="F51" i="15"/>
  <c r="F15" i="71"/>
  <c r="F14" i="71" s="1"/>
  <c r="F13" i="71" s="1"/>
  <c r="F12" i="71" s="1"/>
  <c r="F11" i="71" s="1"/>
  <c r="F10" i="71" s="1"/>
  <c r="F9" i="71" s="1"/>
  <c r="F8" i="71" s="1"/>
  <c r="F7" i="71" s="1"/>
  <c r="F6" i="71" s="1"/>
  <c r="F5" i="71" s="1"/>
  <c r="M23" i="43"/>
  <c r="M84" i="43"/>
  <c r="N84" i="43" s="1"/>
  <c r="K84" i="43"/>
  <c r="M86" i="43"/>
  <c r="N86" i="43" s="1"/>
  <c r="K86" i="43"/>
  <c r="K83" i="43"/>
  <c r="M83" i="43"/>
  <c r="N83" i="43" s="1"/>
  <c r="AZ28" i="3"/>
  <c r="AZ166" i="3"/>
  <c r="AZ282" i="3"/>
  <c r="AZ210" i="3"/>
  <c r="AZ273" i="3"/>
  <c r="AZ413" i="3"/>
  <c r="M88" i="43"/>
  <c r="N88" i="43" s="1"/>
  <c r="K88" i="43"/>
  <c r="M90" i="43"/>
  <c r="N90" i="43" s="1"/>
  <c r="K90" i="43"/>
  <c r="AZ61" i="3"/>
  <c r="AZ197" i="3"/>
  <c r="AZ73" i="3"/>
  <c r="AZ121" i="3"/>
  <c r="AZ274" i="3"/>
  <c r="AZ332" i="3"/>
  <c r="AZ405" i="3"/>
  <c r="AZ247" i="3"/>
  <c r="AZ466" i="3"/>
  <c r="S13" i="33"/>
  <c r="AA13" i="33"/>
  <c r="K89" i="43"/>
  <c r="M89" i="43"/>
  <c r="N89" i="43" s="1"/>
  <c r="AZ59" i="3"/>
  <c r="AZ29" i="3"/>
  <c r="AZ454" i="3"/>
  <c r="AZ173" i="3"/>
  <c r="AZ251" i="3"/>
  <c r="AZ368" i="3"/>
  <c r="U23" i="35"/>
  <c r="AB23" i="35"/>
  <c r="K87" i="43"/>
  <c r="M87" i="43"/>
  <c r="N87" i="43" s="1"/>
  <c r="AZ149" i="3"/>
  <c r="W39" i="40"/>
  <c r="AC39" i="40"/>
  <c r="AC23" i="35"/>
  <c r="W23" i="35"/>
  <c r="AB9" i="33"/>
  <c r="U9" i="33"/>
  <c r="E59" i="40"/>
  <c r="M59" i="67"/>
  <c r="N59" i="67"/>
  <c r="L59" i="67"/>
  <c r="Q61" i="67" s="1"/>
  <c r="L58" i="67"/>
  <c r="Q60" i="67" s="1"/>
  <c r="Q71" i="15"/>
  <c r="F31" i="67"/>
  <c r="F50" i="67"/>
  <c r="F59" i="67" s="1"/>
  <c r="C6" i="67"/>
  <c r="C32" i="67" s="1"/>
  <c r="M7" i="67"/>
  <c r="J6" i="67" s="1"/>
  <c r="J18" i="67" s="1"/>
  <c r="F64" i="15"/>
  <c r="C27" i="67"/>
  <c r="C27" i="15"/>
  <c r="I54" i="67"/>
  <c r="J53" i="67"/>
  <c r="F1" i="67" s="1"/>
  <c r="L56" i="67"/>
  <c r="J57" i="67"/>
  <c r="J55" i="67" s="1"/>
  <c r="J58" i="67" s="1"/>
  <c r="Q50" i="67" s="1"/>
  <c r="J7" i="36"/>
  <c r="AZ31" i="3"/>
  <c r="AZ20" i="3"/>
  <c r="T28" i="71"/>
  <c r="D28" i="71"/>
  <c r="U28" i="71" s="1"/>
  <c r="C27" i="71"/>
  <c r="AZ25" i="3"/>
  <c r="AZ84" i="3"/>
  <c r="AZ302" i="3"/>
  <c r="AZ284" i="3"/>
  <c r="AZ277" i="3"/>
  <c r="AZ256" i="3"/>
  <c r="AZ397" i="3"/>
  <c r="AZ51" i="3"/>
  <c r="AZ271" i="3"/>
  <c r="AZ403" i="3"/>
  <c r="AZ425" i="3"/>
  <c r="AC37" i="39"/>
  <c r="W37" i="39"/>
  <c r="U25" i="37"/>
  <c r="AB25" i="37"/>
  <c r="AA33" i="36"/>
  <c r="S33" i="36"/>
  <c r="AB31" i="39"/>
  <c r="U31" i="39"/>
  <c r="T64" i="71"/>
  <c r="G5" i="3"/>
  <c r="B3" i="3" s="1"/>
  <c r="E212" i="3" s="1"/>
  <c r="AZ42" i="3"/>
  <c r="AZ32" i="3"/>
  <c r="AZ36" i="3"/>
  <c r="AZ215" i="3"/>
  <c r="AZ348" i="3"/>
  <c r="C36" i="71"/>
  <c r="D35" i="71"/>
  <c r="AZ102" i="3"/>
  <c r="AZ74" i="3"/>
  <c r="C78" i="71"/>
  <c r="D78" i="71" s="1"/>
  <c r="D79" i="71"/>
  <c r="C52" i="71"/>
  <c r="D51" i="71"/>
  <c r="AZ65" i="3"/>
  <c r="AZ190" i="3"/>
  <c r="AZ39" i="3"/>
  <c r="AZ130" i="3"/>
  <c r="AZ244" i="3"/>
  <c r="AZ239" i="3"/>
  <c r="D38" i="71"/>
  <c r="C39" i="71"/>
  <c r="N65" i="71"/>
  <c r="N66" i="71"/>
  <c r="AZ401" i="3"/>
  <c r="AZ353" i="3"/>
  <c r="AZ415" i="3"/>
  <c r="AZ398" i="3"/>
  <c r="AC39" i="37"/>
  <c r="W39" i="37"/>
  <c r="S36" i="39"/>
  <c r="AA36" i="39"/>
  <c r="AB33" i="36"/>
  <c r="U33" i="36"/>
  <c r="U12" i="34"/>
  <c r="AB12" i="34"/>
  <c r="AB27" i="21"/>
  <c r="U27" i="21"/>
  <c r="AB36" i="35"/>
  <c r="U36" i="35"/>
  <c r="AZ89" i="3"/>
  <c r="AZ246" i="3"/>
  <c r="AZ268" i="3"/>
  <c r="C86" i="71"/>
  <c r="D86" i="71" s="1"/>
  <c r="D87" i="71"/>
  <c r="C82" i="71"/>
  <c r="D82" i="71" s="1"/>
  <c r="D83" i="71"/>
  <c r="AZ101" i="3"/>
  <c r="D31" i="71"/>
  <c r="C32" i="71"/>
  <c r="AZ19" i="3"/>
  <c r="AZ38" i="3"/>
  <c r="AZ150" i="3"/>
  <c r="AZ435" i="3"/>
  <c r="W12" i="35"/>
  <c r="AC12" i="35"/>
  <c r="AZ421" i="3"/>
  <c r="AZ414" i="3"/>
  <c r="AC44" i="39"/>
  <c r="W44" i="39"/>
  <c r="AC9" i="34"/>
  <c r="W9" i="34"/>
  <c r="W12" i="36"/>
  <c r="AC12" i="36"/>
  <c r="W12" i="34"/>
  <c r="AC12" i="34"/>
  <c r="AC27" i="21"/>
  <c r="W27" i="21"/>
  <c r="C44" i="71"/>
  <c r="D43" i="71"/>
  <c r="C70" i="71"/>
  <c r="D70" i="71" s="1"/>
  <c r="D71" i="71"/>
  <c r="AB44" i="39"/>
  <c r="U44" i="39"/>
  <c r="AA37" i="39"/>
  <c r="S37" i="39"/>
  <c r="AC26" i="33"/>
  <c r="W26" i="33"/>
  <c r="AA25" i="37"/>
  <c r="S25" i="37"/>
  <c r="U12" i="36"/>
  <c r="AB12" i="36"/>
  <c r="AC31" i="39"/>
  <c r="W31" i="39"/>
  <c r="K1" i="73"/>
  <c r="E199" i="3"/>
  <c r="E502" i="3"/>
  <c r="E255" i="3"/>
  <c r="E435" i="3"/>
  <c r="E56" i="3"/>
  <c r="E37" i="3"/>
  <c r="E258" i="3"/>
  <c r="E292" i="3"/>
  <c r="E544" i="3"/>
  <c r="E76" i="3"/>
  <c r="E425" i="3"/>
  <c r="E467" i="3"/>
  <c r="E160" i="3"/>
  <c r="E249" i="3"/>
  <c r="E300" i="3"/>
  <c r="E492" i="3"/>
  <c r="E23" i="3"/>
  <c r="E84" i="3"/>
  <c r="E144" i="3"/>
  <c r="E184" i="3"/>
  <c r="E355" i="3"/>
  <c r="E68" i="3"/>
  <c r="E63" i="3"/>
  <c r="E81" i="3"/>
  <c r="E283" i="3"/>
  <c r="E309" i="3"/>
  <c r="E513" i="3"/>
  <c r="E494" i="3"/>
  <c r="E198" i="3"/>
  <c r="E281"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Q60" i="15"/>
  <c r="AE11" i="1"/>
  <c r="AE9" i="1"/>
  <c r="F27" i="68"/>
  <c r="AE7" i="1"/>
  <c r="AE8" i="1"/>
  <c r="AE12" i="1"/>
  <c r="AE10" i="1"/>
  <c r="AE6" i="1"/>
  <c r="F41" i="67"/>
  <c r="G1" i="73"/>
  <c r="Q74" i="15" l="1"/>
  <c r="C49" i="15"/>
  <c r="AC6" i="3"/>
  <c r="E517" i="3"/>
  <c r="E430" i="3"/>
  <c r="R6" i="3"/>
  <c r="E536" i="3"/>
  <c r="D87" i="43"/>
  <c r="J87" i="43"/>
  <c r="E332" i="3"/>
  <c r="E21" i="3"/>
  <c r="E264" i="3"/>
  <c r="E381" i="3"/>
  <c r="E33" i="3"/>
  <c r="E371" i="3"/>
  <c r="E103" i="3"/>
  <c r="E484" i="3"/>
  <c r="E349" i="3"/>
  <c r="E192" i="3"/>
  <c r="E479" i="3"/>
  <c r="AP6" i="3"/>
  <c r="E541" i="3"/>
  <c r="E499" i="3"/>
  <c r="E510" i="3"/>
  <c r="AZ5" i="3"/>
  <c r="D88" i="43"/>
  <c r="J88" i="43"/>
  <c r="D84" i="43"/>
  <c r="J84" i="43"/>
  <c r="E46" i="3"/>
  <c r="E59" i="3"/>
  <c r="E363" i="3"/>
  <c r="E152" i="3"/>
  <c r="E491" i="3"/>
  <c r="I3" i="6"/>
  <c r="E466" i="3"/>
  <c r="E286" i="3"/>
  <c r="D89" i="43"/>
  <c r="J89" i="43"/>
  <c r="J83" i="43"/>
  <c r="D83" i="43"/>
  <c r="D90" i="43"/>
  <c r="J90" i="43"/>
  <c r="D86" i="43"/>
  <c r="J86" i="43"/>
  <c r="H6" i="3"/>
  <c r="J5" i="67"/>
  <c r="J24" i="67" s="1"/>
  <c r="E233" i="3"/>
  <c r="E67" i="3"/>
  <c r="E310" i="3"/>
  <c r="E267" i="3"/>
  <c r="E64" i="3"/>
  <c r="E409" i="3"/>
  <c r="E389" i="3"/>
  <c r="E241" i="3"/>
  <c r="E95" i="3"/>
  <c r="E417" i="3"/>
  <c r="E554" i="3"/>
  <c r="E449" i="3"/>
  <c r="E442" i="3"/>
  <c r="E575" i="3"/>
  <c r="E539" i="3"/>
  <c r="Q52" i="67"/>
  <c r="C49" i="67"/>
  <c r="Q74" i="67"/>
  <c r="F67" i="39"/>
  <c r="Q73" i="67"/>
  <c r="AY6" i="3"/>
  <c r="AY289" i="3" s="1"/>
  <c r="E3" i="6"/>
  <c r="B14" i="74" s="1"/>
  <c r="T32" i="71"/>
  <c r="D32" i="71"/>
  <c r="D36" i="71"/>
  <c r="T36" i="71"/>
  <c r="C26" i="71"/>
  <c r="D26" i="71" s="1"/>
  <c r="D27" i="71"/>
  <c r="D44" i="71"/>
  <c r="T44" i="71"/>
  <c r="C40" i="71"/>
  <c r="D39" i="71"/>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209" i="3"/>
  <c r="AY433" i="3"/>
  <c r="AY33" i="3"/>
  <c r="AY230" i="3"/>
  <c r="AY177" i="3"/>
  <c r="AY472" i="3"/>
  <c r="AY501" i="3"/>
  <c r="AY447" i="3"/>
  <c r="AY239" i="3"/>
  <c r="AY467" i="3"/>
  <c r="AY82" i="3"/>
  <c r="AY417" i="3"/>
  <c r="AY227" i="3"/>
  <c r="AY449" i="3"/>
  <c r="AY65" i="3"/>
  <c r="AY266" i="3"/>
  <c r="AY313" i="3"/>
  <c r="AY453" i="3"/>
  <c r="AY579" i="3"/>
  <c r="AY509" i="3"/>
  <c r="AY94" i="3"/>
  <c r="AY167" i="3"/>
  <c r="AY221" i="3"/>
  <c r="AY466" i="3"/>
  <c r="AY560" i="3"/>
  <c r="AY86" i="3"/>
  <c r="AY184"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67"/>
  <c r="F41" i="15"/>
  <c r="M27" i="15"/>
  <c r="C48" i="15" l="1"/>
  <c r="C66" i="15" s="1"/>
  <c r="E83" i="43"/>
  <c r="B81" i="43" s="1"/>
  <c r="C28" i="43" s="1"/>
  <c r="F24" i="67"/>
  <c r="C24" i="67" s="1"/>
  <c r="C48" i="67"/>
  <c r="C60" i="67"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28" i="3"/>
  <c r="AY27" i="3"/>
  <c r="AY91" i="3"/>
  <c r="AY558" i="3"/>
  <c r="AY469" i="3"/>
  <c r="AY232" i="3"/>
  <c r="AY156" i="3"/>
  <c r="AY99" i="3"/>
  <c r="AY565" i="3"/>
  <c r="AY407" i="3"/>
  <c r="AY468" i="3"/>
  <c r="AY329" i="3"/>
  <c r="AY251" i="3"/>
  <c r="AY582" i="3"/>
  <c r="AY341" i="3"/>
  <c r="AY134" i="3"/>
  <c r="AY379" i="3"/>
  <c r="AY577" i="3"/>
  <c r="AY226" i="3"/>
  <c r="AY157" i="3"/>
  <c r="AY244" i="3"/>
  <c r="AY571" i="3"/>
  <c r="AY332" i="3"/>
  <c r="AY56" i="3"/>
  <c r="AY278" i="3"/>
  <c r="AY45" i="3"/>
  <c r="AY310" i="3"/>
  <c r="AY83" i="3"/>
  <c r="AY23" i="3"/>
  <c r="AY155" i="3"/>
  <c r="AY59" i="3"/>
  <c r="AY131" i="3"/>
  <c r="AY58" i="3"/>
  <c r="AY268" i="3"/>
  <c r="AY371" i="3"/>
  <c r="AY103" i="3"/>
  <c r="AY160" i="3"/>
  <c r="AY183" i="3"/>
  <c r="AY284" i="3"/>
  <c r="AY319" i="3"/>
  <c r="AY460" i="3"/>
  <c r="AY529" i="3"/>
  <c r="AY300" i="3"/>
  <c r="AY217" i="3"/>
  <c r="AY32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4" i="3"/>
  <c r="AY111" i="3"/>
  <c r="AY303" i="3"/>
  <c r="AY74" i="3"/>
  <c r="AY363" i="3"/>
  <c r="AY409" i="3"/>
  <c r="AY228"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144" i="3"/>
  <c r="AY253" i="3"/>
  <c r="AY50" i="3"/>
  <c r="AY261" i="3"/>
  <c r="AY473" i="3"/>
  <c r="AY26" i="3"/>
  <c r="AY372"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95" i="3"/>
  <c r="AY382" i="3"/>
  <c r="AY196" i="3"/>
  <c r="AY204" i="3"/>
  <c r="AY470" i="3"/>
  <c r="AY180" i="3"/>
  <c r="AY358"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59" i="3"/>
  <c r="AY38" i="3"/>
  <c r="BL6" i="3"/>
  <c r="AY405" i="3"/>
  <c r="AY331" i="3"/>
  <c r="AY280" i="3"/>
  <c r="AY35" i="3"/>
  <c r="AY531" i="3"/>
  <c r="D3" i="6"/>
  <c r="C14" i="74" s="1"/>
  <c r="AY410" i="3"/>
  <c r="AY487" i="3"/>
  <c r="AY369" i="3"/>
  <c r="AY137" i="3"/>
  <c r="AY543" i="3"/>
  <c r="AY161" i="3"/>
  <c r="AY198" i="3"/>
  <c r="AY497" i="3"/>
  <c r="AY518" i="3"/>
  <c r="AY186" i="3"/>
  <c r="AY36" i="3"/>
  <c r="AY486" i="3"/>
  <c r="BM6" i="3"/>
  <c r="AY353" i="3"/>
  <c r="BH6" i="3"/>
  <c r="AY118" i="3"/>
  <c r="AY97" i="3"/>
  <c r="AY260" i="3"/>
  <c r="AY335"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48" i="3"/>
  <c r="AY55" i="3"/>
  <c r="AY512" i="3"/>
  <c r="AY437" i="3"/>
  <c r="AY362" i="3"/>
  <c r="AY285" i="3"/>
  <c r="AY46" i="3"/>
  <c r="AY570" i="3"/>
  <c r="AY14" i="3"/>
  <c r="AY426" i="3"/>
  <c r="AY312" i="3"/>
  <c r="AY380" i="3"/>
  <c r="AY194" i="3"/>
  <c r="AY580" i="3"/>
  <c r="BB6" i="3"/>
  <c r="AY100" i="3"/>
  <c r="AY147" i="3"/>
  <c r="AY403" i="3"/>
  <c r="BS6" i="3"/>
  <c r="BO6" i="3"/>
  <c r="AY163" i="3"/>
  <c r="AY398" i="3"/>
  <c r="AY259" i="3"/>
  <c r="AY381" i="3"/>
  <c r="AY154" i="3"/>
  <c r="AY544" i="3"/>
  <c r="AY441" i="3"/>
  <c r="AY152" i="3"/>
  <c r="E49" i="34"/>
  <c r="F24" i="15"/>
  <c r="C24" i="15" s="1"/>
  <c r="F22" i="69"/>
  <c r="F41" i="69" s="1"/>
  <c r="F22" i="68"/>
  <c r="C26" i="68" s="1"/>
  <c r="D22" i="68" s="1"/>
  <c r="F25" i="12"/>
  <c r="C26" i="12" s="1"/>
  <c r="D25" i="12" s="1"/>
  <c r="F22" i="11"/>
  <c r="C44" i="11" s="1"/>
  <c r="D41" i="11" s="1"/>
  <c r="T40" i="71"/>
  <c r="D40" i="7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4" i="67"/>
  <c r="C17" i="15"/>
  <c r="C17" i="67"/>
  <c r="C66" i="67" l="1"/>
  <c r="C60" i="15"/>
  <c r="M19" i="9"/>
  <c r="C118" i="9" s="1"/>
  <c r="B2" i="74" s="1"/>
  <c r="D30" i="6"/>
  <c r="T13" i="43"/>
  <c r="V13" i="43" s="1"/>
  <c r="T16" i="43"/>
  <c r="V16" i="43" s="1"/>
  <c r="T8" i="43"/>
  <c r="V8" i="43" s="1"/>
  <c r="T6" i="43"/>
  <c r="V6" i="43" s="1"/>
  <c r="C37" i="43"/>
  <c r="C42" i="43"/>
  <c r="T11" i="43"/>
  <c r="V11" i="43" s="1"/>
  <c r="T14" i="43"/>
  <c r="V14" i="43" s="1"/>
  <c r="T4" i="43"/>
  <c r="V4" i="43" s="1"/>
  <c r="T5" i="43"/>
  <c r="V5" i="43" s="1"/>
  <c r="C41" i="43"/>
  <c r="C38" i="43"/>
  <c r="T9" i="43"/>
  <c r="V9" i="43" s="1"/>
  <c r="T12" i="43"/>
  <c r="V12" i="43" s="1"/>
  <c r="T3" i="43"/>
  <c r="V3" i="43" s="1"/>
  <c r="T15" i="43"/>
  <c r="V15" i="43" s="1"/>
  <c r="T7" i="43"/>
  <c r="V7" i="43" s="1"/>
  <c r="T10" i="43"/>
  <c r="V10" i="43" s="1"/>
  <c r="T2" i="43"/>
  <c r="V2" i="43" s="1"/>
  <c r="C40" i="43"/>
  <c r="C39" i="43"/>
  <c r="H22" i="6"/>
  <c r="H25" i="6"/>
  <c r="C25" i="11"/>
  <c r="C24" i="11"/>
  <c r="C23" i="11"/>
  <c r="C26" i="11"/>
  <c r="D22" i="11" s="1"/>
  <c r="C44" i="69"/>
  <c r="D41" i="69" s="1"/>
  <c r="C44" i="68"/>
  <c r="D41" i="68" s="1"/>
  <c r="F41" i="68"/>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9" i="43" l="1"/>
  <c r="G39" i="43"/>
  <c r="I39" i="43" s="1"/>
  <c r="E37" i="43"/>
  <c r="G37" i="43"/>
  <c r="I37" i="43" s="1"/>
  <c r="E40" i="43"/>
  <c r="G40" i="43"/>
  <c r="I40" i="43" s="1"/>
  <c r="G38" i="43"/>
  <c r="I38" i="43" s="1"/>
  <c r="E38" i="43"/>
  <c r="E41" i="43"/>
  <c r="G41" i="43"/>
  <c r="I41" i="43" s="1"/>
  <c r="E42" i="43"/>
  <c r="G42" i="43"/>
  <c r="I42" i="43" s="1"/>
  <c r="C18" i="12"/>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J26" i="43" l="1"/>
  <c r="E26" i="43"/>
  <c r="N94" i="46"/>
  <c r="N370" i="46"/>
  <c r="H26" i="43"/>
  <c r="F26" i="43"/>
  <c r="G26" i="43"/>
  <c r="B116" i="43"/>
  <c r="Z7"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119" i="43" l="1"/>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27" i="12"/>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F35" i="67"/>
  <c r="M21" i="67"/>
  <c r="M21" i="15"/>
  <c r="C118" i="43" l="1"/>
  <c r="D116" i="43"/>
  <c r="C33" i="43"/>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B2" i="76" l="1"/>
  <c r="B3" i="76" s="1"/>
  <c r="B3" i="43"/>
  <c r="C6" i="68"/>
  <c r="Q69" i="15"/>
  <c r="Q68" i="15" s="1"/>
  <c r="I40" i="15"/>
  <c r="D10" i="71"/>
  <c r="C9" i="7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6"/>
  <c r="L51" i="15"/>
  <c r="D2" i="37"/>
  <c r="D2" i="35"/>
  <c r="D2" i="34"/>
  <c r="C7" i="68" l="1"/>
  <c r="C5" i="68" s="1"/>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1" i="1"/>
  <c r="AO10" i="1"/>
  <c r="AO9" i="1"/>
  <c r="AO12"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35" i="9"/>
  <c r="C103" i="9" l="1"/>
  <c r="G20" i="9"/>
  <c r="C32" i="9" s="1"/>
  <c r="C35" i="9" s="1"/>
  <c r="C34" i="9" s="1"/>
  <c r="G21" i="9"/>
  <c r="D14" i="74"/>
  <c r="G14" i="74" s="1"/>
  <c r="B5" i="74" l="1"/>
  <c r="D5" i="74" s="1"/>
  <c r="F14" i="74"/>
  <c r="E14" i="74"/>
  <c r="B6" i="74"/>
  <c r="D6" i="74" s="1"/>
  <c r="D118" i="9"/>
  <c r="D119" i="9" s="1"/>
  <c r="D5" i="52" s="1"/>
  <c r="B49" i="72" s="1"/>
  <c r="F118" i="9"/>
  <c r="F4" i="52" s="1"/>
  <c r="B51" i="72" s="1"/>
  <c r="H118" i="9"/>
  <c r="C104" i="9" s="1"/>
  <c r="H4" i="52" l="1"/>
  <c r="D4" i="52"/>
  <c r="B47" i="72" s="1"/>
  <c r="H119" i="9"/>
  <c r="H5" i="52" s="1"/>
  <c r="F119" i="9"/>
  <c r="F5" i="52" s="1"/>
  <c r="B53" i="72" s="1"/>
  <c r="G118" i="9"/>
  <c r="G4" i="52" s="1"/>
  <c r="B52" i="72" s="1"/>
  <c r="H101" i="9"/>
  <c r="I118" i="9"/>
  <c r="C105" i="9" l="1"/>
  <c r="E118" i="9"/>
  <c r="E4" i="52" s="1"/>
  <c r="B48" i="72" s="1"/>
  <c r="I4" i="52"/>
  <c r="H102" i="9"/>
  <c r="D45" i="9"/>
  <c r="D5" i="53"/>
  <c r="M48" i="9"/>
  <c r="H107" i="9"/>
  <c r="D122" i="9" l="1"/>
  <c r="D13" i="53"/>
  <c r="M49" i="9"/>
  <c r="H108" i="9"/>
  <c r="D7" i="53"/>
  <c r="B21" i="72" s="1"/>
  <c r="C5" i="74"/>
  <c r="D6" i="53"/>
  <c r="B22" i="72" s="1"/>
  <c r="B20" i="72"/>
  <c r="D52" i="9"/>
  <c r="C78" i="9"/>
  <c r="C73" i="9" s="1"/>
  <c r="C93" i="9"/>
  <c r="C86" i="9" s="1"/>
  <c r="D53" i="9"/>
  <c r="D55" i="9"/>
  <c r="M53" i="9" s="1"/>
  <c r="C72" i="9"/>
  <c r="C85" i="9"/>
  <c r="C64" i="9"/>
  <c r="C63" i="9" s="1"/>
  <c r="C67" i="9" s="1"/>
  <c r="C79" i="9" l="1"/>
  <c r="C95" i="9"/>
  <c r="C96" i="9" s="1"/>
  <c r="E96" i="9" s="1"/>
  <c r="E97" i="9" s="1"/>
  <c r="D59" i="9"/>
  <c r="M55" i="9" s="1"/>
  <c r="C68" i="9"/>
  <c r="D54" i="9" s="1"/>
  <c r="C6" i="74"/>
  <c r="D15" i="53"/>
  <c r="B31" i="72" s="1"/>
  <c r="L64" i="9"/>
  <c r="M64" i="9" s="1"/>
  <c r="L66" i="9"/>
  <c r="M66" i="9" s="1"/>
  <c r="L63" i="9"/>
  <c r="M63" i="9" s="1"/>
  <c r="L65" i="9"/>
  <c r="M65" i="9" s="1"/>
  <c r="L68" i="9"/>
  <c r="M68" i="9" s="1"/>
  <c r="L67" i="9"/>
  <c r="M67" i="9" s="1"/>
  <c r="C80" i="9"/>
  <c r="E80" i="9" s="1"/>
  <c r="E81" i="9" s="1"/>
  <c r="D14" i="53"/>
  <c r="B32" i="72" s="1"/>
  <c r="B30" i="72"/>
  <c r="D123" i="9"/>
  <c r="D9" i="52" s="1"/>
  <c r="D8" i="52"/>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<sst xmlns="http://schemas.openxmlformats.org/spreadsheetml/2006/main" count="7840" uniqueCount="3435">
  <si>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</si>
  <si>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</si>
  <si>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</si>
  <si>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</si>
  <si>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</si>
  <si>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</si>
  <si>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</si>
  <si>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</si>
  <si>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</si>
  <si>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</si>
  <si>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</si>
  <si>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</si>
  <si>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</si>
  <si>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</si>
  <si>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</si>
  <si>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</si>
  <si>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</si>
  <si>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</si>
  <si>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</si>
  <si>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</si>
  <si>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</si>
  <si>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</si>
  <si>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</si>
  <si>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</si>
  <si>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</si>
  <si>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</si>
  <si>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</si>
  <si>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</si>
  <si>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</si>
  <si>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</si>
  <si>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</si>
  <si>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</si>
  <si>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</si>
  <si>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</si>
  <si>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</si>
  <si>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</si>
  <si>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</si>
  <si>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</si>
  <si>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</si>
  <si>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</si>
  <si>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</si>
  <si>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</si>
  <si>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</si>
  <si>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</si>
  <si>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</si>
  <si>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</si>
  <si>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</si>
  <si>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</si>
  <si>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</si>
  <si>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</si>
  <si>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</si>
  <si>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</si>
  <si>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</si>
  <si>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</si>
  <si>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</si>
  <si>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</si>
  <si>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</si>
  <si>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</si>
  <si>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</si>
  <si>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</si>
  <si>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</si>
  <si>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</si>
  <si>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</si>
  <si>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</si>
  <si>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</si>
  <si>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</si>
  <si>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</si>
  <si>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</si>
  <si>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</si>
  <si>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</si>
  <si>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</si>
  <si>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</si>
  <si>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</si>
  <si>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</si>
  <si>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</si>
  <si>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</si>
  <si>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</si>
  <si>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</si>
  <si>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</si>
  <si>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</si>
  <si>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</si>
  <si>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</si>
  <si>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</si>
  <si>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</si>
  <si>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</si>
  <si>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</si>
  <si>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</si>
  <si>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</si>
  <si>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</si>
  <si>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</si>
  <si>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</si>
  <si>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</si>
  <si>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</si>
  <si>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</si>
  <si>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</si>
  <si>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</si>
  <si>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</si>
  <si>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</si>
  <si>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</si>
  <si>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</si>
  <si>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</si>
  <si>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</si>
  <si>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</si>
  <si>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</si>
  <si>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</si>
  <si>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</si>
  <si>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</si>
  <si>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</si>
  <si>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</si>
  <si>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</si>
  <si>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</si>
  <si>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</si>
  <si>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</si>
  <si>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</si>
  <si>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</si>
  <si>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</si>
  <si>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</si>
  <si>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</si>
  <si>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</si>
  <si>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</si>
  <si>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</si>
  <si>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</si>
  <si>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</si>
  <si>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</si>
  <si>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</si>
  <si>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</si>
  <si>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</si>
  <si>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</si>
  <si>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</si>
  <si>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</si>
  <si>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</si>
  <si>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</si>
  <si>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</si>
  <si>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</si>
  <si>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</si>
  <si>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</si>
  <si>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</si>
  <si>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</si>
  <si>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</si>
  <si>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</si>
  <si>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</si>
  <si>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</si>
  <si>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</si>
  <si>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</si>
  <si>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</si>
  <si>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</si>
  <si>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</si>
  <si>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</si>
  <si>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</si>
  <si>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</si>
  <si>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</si>
  <si>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</si>
  <si>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</si>
  <si>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</si>
  <si>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</si>
  <si>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</si>
  <si>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</si>
  <si>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</si>
  <si>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</si>
  <si>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</si>
  <si>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</si>
  <si>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</si>
  <si>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</si>
  <si>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</si>
  <si>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</si>
  <si>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</si>
  <si>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</si>
  <si>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</si>
  <si>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</si>
  <si>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</si>
  <si>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</si>
  <si>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</si>
  <si>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</si>
  <si>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</si>
  <si>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</si>
  <si>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</si>
  <si>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</si>
  <si>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</si>
  <si>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</si>
  <si>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</si>
  <si>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</si>
  <si>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</si>
  <si>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</si>
  <si>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</si>
  <si>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</si>
  <si>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</si>
  <si>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</si>
  <si>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</si>
  <si>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</si>
  <si>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</si>
  <si>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</si>
  <si>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</si>
  <si>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</si>
  <si>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</si>
  <si>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</si>
  <si>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</si>
  <si>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</si>
  <si>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</si>
  <si>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</si>
  <si>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</si>
  <si>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</si>
  <si>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</si>
  <si>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</si>
  <si>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</si>
  <si>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</si>
  <si>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</si>
  <si>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</si>
  <si>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</si>
  <si>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</si>
  <si>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</si>
  <si>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</si>
  <si>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</si>
  <si>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</si>
  <si>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</si>
  <si>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</si>
  <si>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</si>
  <si>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</si>
  <si>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</si>
  <si>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</si>
  <si>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</si>
  <si>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</si>
  <si>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</si>
  <si>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</si>
  <si>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</si>
  <si>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</si>
  <si>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</si>
  <si>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</si>
  <si>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</si>
  <si>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</si>
  <si>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</si>
  <si>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</si>
  <si>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</si>
  <si>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</si>
  <si>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</si>
  <si>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</si>
  <si>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</si>
  <si>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</si>
  <si>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</si>
  <si>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</si>
  <si>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</si>
  <si>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</si>
  <si>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</si>
  <si>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</si>
  <si>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</si>
  <si>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</si>
  <si>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</si>
  <si>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</si>
  <si>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</si>
  <si>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</si>
  <si>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</si>
  <si>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</si>
  <si>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</si>
  <si>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</si>
  <si>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</si>
  <si>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</si>
  <si>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</si>
  <si>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</si>
  <si>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</si>
  <si>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</si>
  <si>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</si>
  <si>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</si>
  <si>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</si>
  <si>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</si>
  <si>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</si>
  <si>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</si>
  <si>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</si>
  <si>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</si>
  <si>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</si>
  <si>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</si>
  <si>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</si>
  <si>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</si>
  <si>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</si>
  <si>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</si>
  <si>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</si>
  <si>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</si>
  <si>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</si>
  <si>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</si>
  <si>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</si>
  <si>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</si>
  <si>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</si>
  <si>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</si>
  <si>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</si>
  <si>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</si>
  <si>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</si>
  <si>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</si>
  <si>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</si>
  <si>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</si>
  <si>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</si>
  <si>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</si>
  <si>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</si>
  <si>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</si>
  <si>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</si>
  <si>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</si>
  <si>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</si>
  <si>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</si>
  <si>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</si>
  <si>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</si>
  <si>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</si>
  <si>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</si>
  <si>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</si>
  <si>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</si>
  <si>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</si>
  <si>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</si>
  <si>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</si>
  <si>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</si>
  <si>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</si>
  <si>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</si>
  <si>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</si>
  <si>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</si>
  <si>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</si>
  <si>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</si>
  <si>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</si>
  <si>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</si>
  <si>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</si>
  <si>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</si>
  <si>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</si>
  <si>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</si>
  <si>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</si>
  <si>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</si>
  <si>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</si>
  <si>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</si>
  <si>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</si>
  <si>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</si>
  <si>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</si>
  <si>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</si>
  <si>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</si>
  <si>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</si>
  <si>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</si>
  <si>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</si>
  <si>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</si>
  <si>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</si>
  <si>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</si>
  <si>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</si>
  <si>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</si>
  <si>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</si>
  <si>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</si>
  <si>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</si>
  <si>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</si>
  <si>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</si>
  <si>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</si>
  <si>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</si>
  <si>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</si>
  <si>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</si>
  <si>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</si>
  <si>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</si>
  <si>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</si>
  <si>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</si>
  <si>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</si>
  <si>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</si>
  <si>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</si>
  <si>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</si>
  <si>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</si>
  <si>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</si>
  <si>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</si>
  <si>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</si>
  <si>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</si>
  <si>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</si>
  <si>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</si>
  <si>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</si>
  <si>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</si>
  <si>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</si>
  <si>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</si>
  <si>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</si>
  <si>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</si>
  <si>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</si>
  <si>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</si>
  <si>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</si>
  <si>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</si>
  <si>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</si>
  <si>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</si>
  <si>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</si>
  <si>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</si>
  <si>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</si>
  <si>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</si>
  <si>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</si>
  <si>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</si>
  <si>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</si>
  <si>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</si>
  <si>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</si>
  <si>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</si>
  <si>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</si>
  <si>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</si>
  <si>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</si>
  <si>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</si>
  <si>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</si>
  <si>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</si>
  <si>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</si>
  <si>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</si>
  <si>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</si>
  <si>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</si>
  <si>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</si>
  <si>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</si>
  <si>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</si>
  <si>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</si>
  <si>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</si>
  <si>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</si>
  <si>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</si>
  <si>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</si>
  <si>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</si>
  <si>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</si>
  <si>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</si>
  <si>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</si>
  <si>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</si>
  <si>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</si>
  <si>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</si>
  <si>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</si>
  <si>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</si>
  <si>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</si>
  <si>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</si>
  <si>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</si>
  <si>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</si>
  <si>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</si>
  <si>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</si>
  <si>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</si>
  <si>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</si>
  <si>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</si>
  <si>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</si>
  <si>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</si>
  <si>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</si>
  <si>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</si>
  <si>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</si>
  <si>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</si>
  <si>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</si>
  <si>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</si>
  <si>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</si>
  <si>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</si>
  <si>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</si>
  <si>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</si>
  <si>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</si>
  <si>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</si>
  <si>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</si>
  <si>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</si>
  <si>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</si>
  <si>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</si>
  <si>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</si>
  <si>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</si>
  <si>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</si>
  <si>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</si>
  <si>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</si>
  <si>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</si>
  <si>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</si>
  <si>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</si>
  <si>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</si>
  <si>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</si>
  <si>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</si>
  <si>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</si>
  <si>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</si>
  <si>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</si>
  <si>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</si>
  <si>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</si>
  <si>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</si>
  <si>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</si>
  <si>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</si>
  <si>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</si>
  <si>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</si>
  <si>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</si>
  <si>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</si>
  <si>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</si>
  <si>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</si>
  <si>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</si>
  <si>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</si>
  <si>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</si>
  <si>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</si>
  <si>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</si>
  <si>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</si>
  <si>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</si>
  <si>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</si>
  <si>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</si>
  <si>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</si>
  <si>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</si>
  <si>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</si>
  <si>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</si>
  <si>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</si>
  <si>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</si>
  <si>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</si>
  <si>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</si>
  <si>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</si>
  <si>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</si>
  <si>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</si>
  <si>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</si>
  <si>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</si>
  <si>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</si>
  <si>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</si>
  <si>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</si>
  <si>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</si>
  <si>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</si>
  <si>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</si>
  <si>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</si>
  <si>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</si>
  <si>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</si>
  <si>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</si>
  <si>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</si>
  <si>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</si>
  <si>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</si>
  <si>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</si>
  <si>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</si>
  <si>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</si>
  <si>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</si>
  <si>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</si>
  <si>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</si>
  <si>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</si>
  <si>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</si>
  <si>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</si>
  <si>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</si>
  <si>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</si>
  <si>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</si>
  <si>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</si>
  <si>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</si>
  <si>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</si>
  <si>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</si>
  <si>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</si>
  <si>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</si>
  <si>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</si>
  <si>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</si>
  <si>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</si>
  <si>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</si>
  <si>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</si>
  <si>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</si>
  <si>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</si>
  <si>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</si>
  <si>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</si>
  <si>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</si>
  <si>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</si>
  <si>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</si>
  <si>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</si>
  <si>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</si>
  <si>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</si>
  <si>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</si>
  <si>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</si>
  <si>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</si>
  <si>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</si>
  <si>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</si>
  <si>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</si>
  <si>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</si>
  <si>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</si>
  <si>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</si>
  <si>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</si>
  <si>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</si>
  <si>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</si>
  <si>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</si>
  <si>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</si>
  <si>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</si>
  <si>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</si>
  <si>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</si>
  <si>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</si>
  <si>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</si>
  <si>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</si>
  <si>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</si>
  <si>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</si>
  <si>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</si>
  <si>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</si>
  <si>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</si>
  <si>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</si>
  <si>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</si>
  <si>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</si>
  <si>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</si>
  <si>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</si>
  <si>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</si>
  <si>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</si>
  <si>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</si>
  <si>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</si>
  <si>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</si>
  <si>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</si>
  <si>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</si>
  <si>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</si>
  <si>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</si>
  <si>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</si>
  <si>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</si>
  <si>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</si>
  <si>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</si>
  <si>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</si>
  <si>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</si>
  <si>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</si>
  <si>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</si>
  <si>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</si>
  <si>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</si>
  <si>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</si>
  <si>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</si>
  <si>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</si>
  <si>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</si>
  <si>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</si>
  <si>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</si>
  <si>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</si>
  <si>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</si>
  <si>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</si>
  <si>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</si>
  <si>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</si>
  <si>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</si>
  <si>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</si>
  <si>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</si>
  <si>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</si>
  <si>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</si>
  <si>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</si>
  <si>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</si>
  <si>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</si>
  <si>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</si>
  <si>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</si>
  <si>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</si>
  <si>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</si>
  <si>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</si>
  <si>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</si>
  <si>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</si>
  <si>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</si>
  <si>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</si>
  <si>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</si>
  <si>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</si>
  <si>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</si>
  <si>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</si>
  <si>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</si>
  <si>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</si>
  <si>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</si>
  <si>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</si>
  <si>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</si>
  <si>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</si>
  <si>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</si>
  <si>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</si>
  <si>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</si>
  <si>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</si>
  <si>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</si>
  <si>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</si>
  <si>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</si>
  <si>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</si>
  <si>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</si>
  <si>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</si>
  <si>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</si>
  <si>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</si>
  <si>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</si>
  <si>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</si>
  <si>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</si>
  <si>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</si>
  <si>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</si>
  <si>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</si>
  <si>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</si>
  <si>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</si>
  <si>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</si>
  <si>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</si>
  <si>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</si>
  <si>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</si>
  <si>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</si>
  <si>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</si>
  <si>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</si>
  <si>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</si>
  <si>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</si>
  <si>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</si>
  <si>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</si>
  <si>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</si>
  <si>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</si>
  <si>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</si>
  <si>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</si>
  <si>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</si>
  <si>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</si>
  <si>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</si>
  <si>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</si>
  <si>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</si>
  <si>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</si>
  <si>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</si>
  <si>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</si>
  <si>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</si>
  <si>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</si>
  <si>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</si>
  <si>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</si>
  <si>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</si>
  <si>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</si>
  <si>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</si>
  <si>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</si>
  <si>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</si>
  <si>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</si>
  <si>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</si>
  <si>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</si>
  <si>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</si>
  <si>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</si>
  <si>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</si>
  <si>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</si>
  <si>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</si>
  <si>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</si>
  <si>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</si>
  <si>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</si>
  <si>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</si>
  <si>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</si>
  <si>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</si>
  <si>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</si>
  <si>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</si>
  <si>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</si>
  <si>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</si>
  <si>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</si>
  <si>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</si>
  <si>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</si>
  <si>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</si>
  <si>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</si>
  <si>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</si>
  <si>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</si>
  <si>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</si>
  <si>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</si>
  <si>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</si>
  <si>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</si>
  <si>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</si>
  <si>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</si>
  <si>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</si>
  <si>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</si>
  <si>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</si>
  <si>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</si>
  <si>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</si>
  <si>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</si>
  <si>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</si>
  <si>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</si>
  <si>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</si>
  <si>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</si>
  <si>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</si>
  <si>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</si>
  <si>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</si>
  <si>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</si>
  <si>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</si>
  <si>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</si>
  <si>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</si>
  <si>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</si>
  <si>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</si>
  <si>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</si>
  <si>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</si>
  <si>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</si>
  <si>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</si>
  <si>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</si>
  <si>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</si>
  <si>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</si>
  <si>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</si>
  <si>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</si>
  <si>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</si>
  <si>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</si>
  <si>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</si>
  <si>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</si>
  <si>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</si>
  <si>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</si>
  <si>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</si>
  <si>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</si>
  <si>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</si>
  <si>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</si>
  <si>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</si>
  <si>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</si>
  <si>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</si>
  <si>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</si>
  <si>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</si>
  <si>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</si>
  <si>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</si>
  <si>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</si>
  <si>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</si>
  <si>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</si>
  <si>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</si>
  <si>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</si>
  <si>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</si>
  <si>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</si>
  <si>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</si>
  <si>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</si>
  <si>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</si>
  <si>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</si>
  <si>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</si>
  <si>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</si>
  <si>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</si>
  <si>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</si>
  <si>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</si>
  <si>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</si>
  <si>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</si>
  <si>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</si>
  <si>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</si>
  <si>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</si>
  <si>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</si>
  <si>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</si>
  <si>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</si>
  <si>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</si>
  <si>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</si>
  <si>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</si>
  <si>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</si>
  <si>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</si>
  <si>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</si>
  <si>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</si>
  <si>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</si>
  <si>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</si>
  <si>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</si>
  <si>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</si>
  <si>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</si>
  <si>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</si>
  <si>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</si>
  <si>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</si>
  <si>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</si>
  <si>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</si>
  <si>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</si>
  <si>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</si>
  <si>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</si>
  <si>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</si>
  <si>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</si>
  <si>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</si>
  <si>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</si>
  <si>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</si>
  <si>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</si>
  <si>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</si>
  <si>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</si>
  <si>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</si>
  <si>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</si>
  <si>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</si>
  <si>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</si>
  <si>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</si>
  <si>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</si>
  <si>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</si>
  <si>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</si>
  <si>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</si>
  <si>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</si>
  <si>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</si>
  <si>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</si>
  <si>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</si>
  <si>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</si>
  <si>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</si>
  <si>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</si>
  <si>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</si>
  <si>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</si>
  <si>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</si>
  <si>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</si>
  <si>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</si>
  <si>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</si>
  <si>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</si>
  <si>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</si>
  <si>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</si>
  <si>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</si>
  <si>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</si>
  <si>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</si>
  <si>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</si>
  <si>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</si>
  <si>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</si>
  <si>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</si>
  <si>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</si>
  <si>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</si>
  <si>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</si>
  <si>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</si>
  <si>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</si>
  <si>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</si>
  <si>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</si>
  <si>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</si>
  <si>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</si>
  <si>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</si>
  <si>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</si>
  <si>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</si>
  <si>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</si>
  <si>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</si>
  <si>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</si>
  <si>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</si>
  <si>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</si>
  <si>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</si>
  <si>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</si>
  <si>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</si>
  <si>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</si>
  <si>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</si>
  <si>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</si>
  <si>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</si>
  <si>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</si>
  <si>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</si>
  <si>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</si>
  <si>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</si>
  <si>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</si>
  <si>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</si>
  <si>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</si>
  <si>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</si>
  <si>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</si>
  <si>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</si>
  <si>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</si>
  <si>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</si>
  <si>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</si>
  <si>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</si>
  <si>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</si>
  <si>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</si>
  <si>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</si>
  <si>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</si>
  <si>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</si>
  <si>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</si>
  <si>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</si>
  <si>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</si>
  <si>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</si>
  <si>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</si>
  <si>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</si>
  <si>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</si>
  <si>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</si>
  <si>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</si>
  <si>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</si>
  <si>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</si>
  <si>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</si>
  <si>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</si>
  <si>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</si>
  <si>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</si>
  <si>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</si>
  <si>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</si>
  <si>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</si>
  <si>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</si>
  <si>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</si>
  <si>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</si>
  <si>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</si>
  <si>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</si>
  <si>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</si>
  <si>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</si>
  <si>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</si>
  <si>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</si>
  <si>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</si>
  <si>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</si>
  <si>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</si>
  <si>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</si>
  <si>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</si>
  <si>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</si>
  <si>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</si>
  <si>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</si>
  <si>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</si>
  <si>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</si>
  <si>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</si>
  <si>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</si>
  <si>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</si>
  <si>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</si>
  <si>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</si>
  <si>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</si>
  <si>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</si>
  <si>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</si>
  <si>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</si>
  <si>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</si>
  <si>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</si>
  <si>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</si>
  <si>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</si>
  <si>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</si>
  <si>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</si>
  <si>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</si>
  <si>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</si>
  <si>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</si>
  <si>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</si>
  <si>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</si>
  <si>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</si>
  <si>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</si>
  <si>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</si>
  <si>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</si>
  <si>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</si>
  <si>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</si>
  <si>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</si>
  <si>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</si>
  <si>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</si>
  <si>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</si>
  <si>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</si>
  <si>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</si>
  <si>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</si>
  <si>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</si>
  <si>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</si>
  <si>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</si>
  <si>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</si>
  <si>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</si>
  <si>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</si>
  <si>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</si>
  <si>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</si>
  <si>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</si>
  <si>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</si>
  <si>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</si>
  <si>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</si>
  <si>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</si>
  <si>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</si>
  <si>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</si>
  <si>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</si>
  <si>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</si>
  <si>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</si>
  <si>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</si>
  <si>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</si>
  <si>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</si>
  <si>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</si>
  <si>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</si>
  <si>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</si>
  <si>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</si>
  <si>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</si>
  <si>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</si>
  <si>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</si>
  <si>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</si>
  <si>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</si>
  <si>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</si>
  <si>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</si>
  <si>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</si>
  <si>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</si>
  <si>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</si>
  <si>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</si>
  <si>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</si>
  <si>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</si>
  <si>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</si>
  <si>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</si>
  <si>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</si>
  <si>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</si>
  <si>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</si>
  <si>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</si>
  <si>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</si>
  <si>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</si>
  <si>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</si>
  <si>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</si>
  <si>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</si>
  <si>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</si>
  <si>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</si>
  <si>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</si>
  <si>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</si>
  <si>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</si>
  <si>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</si>
  <si>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</si>
  <si>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</si>
  <si>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</si>
  <si>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</si>
  <si>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</si>
  <si>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</si>
  <si>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</si>
  <si>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</si>
  <si>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</si>
  <si>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</si>
  <si>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</si>
  <si>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</si>
  <si>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</si>
  <si>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</si>
  <si>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</si>
  <si>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</si>
  <si>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</si>
  <si>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</si>
  <si>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</si>
  <si>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</si>
  <si>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</si>
  <si>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</si>
  <si>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</si>
  <si>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</si>
  <si>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</si>
  <si>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</si>
  <si>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</si>
  <si>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</si>
  <si>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</si>
  <si>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</si>
  <si>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</si>
  <si>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</si>
  <si>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</si>
  <si>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</si>
  <si>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</si>
  <si>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</si>
  <si>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</si>
  <si>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</si>
  <si>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</si>
  <si>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</si>
  <si>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</si>
  <si>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</si>
  <si>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</si>
  <si>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</si>
  <si>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</si>
  <si>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</si>
  <si>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</si>
  <si>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</si>
  <si>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</si>
  <si>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</si>
  <si>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</si>
  <si>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</si>
  <si>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</si>
  <si>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</si>
  <si>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</si>
  <si>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</si>
  <si>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</si>
  <si>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</si>
  <si>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</si>
  <si>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</si>
  <si>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</si>
  <si>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</si>
  <si>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</si>
  <si>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</si>
  <si>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</si>
  <si>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</si>
  <si>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</si>
  <si>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</si>
  <si>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</si>
  <si>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</si>
  <si>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</si>
  <si>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</si>
  <si>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</si>
  <si>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</si>
  <si>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</si>
  <si>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</si>
  <si>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</si>
  <si>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</si>
  <si>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</si>
  <si>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</si>
  <si>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</si>
  <si>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</si>
  <si>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</si>
  <si>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</si>
  <si>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</si>
  <si>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</si>
  <si>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</si>
  <si>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</si>
  <si>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</si>
  <si>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</si>
  <si>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</si>
  <si>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</si>
  <si>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</si>
  <si>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</si>
  <si>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</si>
  <si>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</si>
  <si>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</si>
  <si>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</si>
  <si>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</si>
  <si>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</si>
  <si>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</si>
  <si>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</si>
  <si>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</si>
  <si>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</si>
  <si>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</si>
  <si>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</si>
  <si>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</si>
  <si>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</si>
  <si>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</si>
  <si>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</si>
  <si>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</si>
  <si>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</si>
  <si>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</si>
  <si>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</si>
  <si>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</si>
  <si>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</si>
  <si>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</si>
  <si>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</si>
  <si>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</si>
  <si>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</si>
  <si>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</si>
  <si>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</si>
  <si>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</si>
  <si>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</si>
  <si>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</si>
  <si>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</si>
  <si>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</si>
  <si>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</si>
  <si>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</si>
  <si>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</si>
  <si>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</si>
  <si>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</si>
  <si>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</si>
  <si>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</si>
  <si>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</si>
  <si>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</si>
  <si>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</si>
  <si>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</si>
  <si>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</si>
  <si>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</si>
  <si>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</si>
  <si>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</si>
  <si>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</si>
  <si>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</si>
  <si>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</si>
  <si>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</si>
  <si>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</si>
  <si>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</si>
  <si>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</si>
  <si>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</si>
  <si>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</si>
  <si>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</si>
  <si>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</si>
  <si>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</si>
  <si>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</si>
  <si>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</si>
  <si>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</si>
  <si>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</si>
  <si>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</si>
  <si>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</si>
  <si>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</si>
  <si>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</si>
  <si>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</si>
  <si>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</si>
  <si>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</si>
  <si>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</si>
  <si>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</si>
  <si>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</si>
  <si>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</si>
  <si>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</si>
  <si>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</si>
  <si>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</si>
  <si>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</si>
  <si>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</si>
  <si>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</si>
  <si>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</si>
  <si>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</si>
  <si>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</si>
  <si>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</si>
  <si>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</si>
  <si>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</si>
  <si>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</si>
  <si>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</si>
  <si>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</si>
  <si>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</si>
  <si>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</si>
  <si>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</si>
  <si>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</si>
  <si>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</si>
  <si>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</si>
  <si>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</si>
  <si>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</si>
  <si>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</si>
  <si>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</si>
  <si>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</si>
  <si>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</si>
  <si>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</si>
  <si>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</si>
  <si>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</si>
  <si>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</si>
  <si>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</si>
  <si>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</si>
  <si>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</si>
  <si>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</si>
  <si>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</si>
  <si>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</si>
  <si>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</si>
  <si>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</si>
  <si>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</si>
  <si>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</si>
  <si>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</si>
  <si>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</si>
  <si>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</si>
  <si>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</si>
  <si>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</si>
  <si>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</si>
  <si>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</si>
  <si>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</si>
  <si>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</si>
  <si>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</si>
  <si>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</si>
  <si>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</si>
  <si>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</si>
  <si>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</si>
  <si>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</si>
  <si>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</si>
  <si>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</si>
  <si>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</si>
  <si>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</si>
  <si>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</si>
  <si>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</si>
  <si>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</si>
  <si>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</si>
  <si>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</si>
  <si>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</si>
  <si>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</si>
  <si>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</si>
  <si>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</si>
  <si>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</si>
  <si>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</si>
  <si>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</si>
  <si>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</si>
  <si>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</si>
  <si>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</si>
  <si>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</si>
  <si>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</si>
  <si>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</si>
  <si>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</si>
  <si>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</si>
  <si>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</si>
  <si>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</si>
  <si>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</si>
  <si>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</si>
  <si>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</si>
  <si>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</si>
  <si>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</si>
  <si>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</si>
  <si>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</si>
  <si>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</si>
  <si>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</si>
  <si>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</si>
  <si>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</si>
  <si>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</si>
  <si>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</si>
  <si>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</si>
  <si>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</si>
  <si>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</si>
  <si>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</si>
  <si>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</si>
  <si>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</si>
  <si>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</si>
  <si>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</si>
  <si>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</si>
  <si>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</si>
  <si>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</si>
  <si>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</si>
  <si>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</si>
  <si>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</si>
  <si>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</si>
  <si>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</si>
  <si>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</si>
  <si>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</si>
  <si>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</si>
  <si>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</si>
  <si>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</si>
  <si>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</si>
  <si>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</si>
  <si>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</si>
  <si>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</si>
  <si>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</si>
  <si>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</si>
  <si>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</si>
  <si>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</si>
  <si>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</si>
  <si>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</si>
  <si>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</si>
  <si>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</si>
  <si>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</si>
  <si>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</si>
  <si>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</si>
  <si>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</si>
  <si>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</si>
  <si>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</si>
  <si>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</si>
  <si>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</si>
  <si>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</si>
  <si>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</si>
  <si>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</si>
  <si>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</si>
  <si>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</si>
  <si>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</si>
  <si>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</si>
  <si>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</si>
  <si>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</si>
  <si>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</si>
  <si>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</si>
  <si>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</si>
  <si>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</si>
  <si>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</si>
  <si>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</si>
  <si>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</si>
  <si>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</si>
  <si>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</si>
  <si>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</si>
  <si>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</si>
  <si>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</si>
  <si>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</si>
  <si>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</si>
  <si>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</si>
  <si>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</si>
  <si>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</si>
  <si>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</si>
  <si>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</si>
  <si>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</si>
  <si>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</si>
  <si>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</si>
  <si>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</si>
  <si>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</si>
  <si>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</si>
  <si>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</si>
  <si>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</si>
  <si>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</si>
  <si>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</si>
  <si>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</si>
  <si>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</si>
  <si>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</si>
  <si>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</si>
  <si>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</si>
  <si>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</si>
  <si>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</si>
  <si>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</si>
  <si>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</si>
  <si>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</si>
  <si>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</si>
  <si>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</si>
  <si>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</si>
  <si>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</si>
  <si>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</si>
  <si>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</si>
  <si>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</si>
  <si>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</si>
  <si>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</si>
  <si>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</si>
  <si>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</si>
  <si>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</si>
  <si>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</si>
  <si>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</si>
  <si>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</si>
  <si>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</si>
  <si>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</si>
  <si>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</si>
  <si>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</si>
  <si>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</si>
  <si>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</si>
  <si>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</si>
  <si>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</si>
  <si>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</si>
  <si>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</si>
  <si>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</si>
  <si>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</si>
  <si>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</si>
  <si>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</si>
  <si>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</si>
  <si>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</si>
  <si>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</si>
  <si>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</si>
  <si>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</si>
  <si>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</si>
  <si>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</si>
  <si>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</si>
  <si>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</si>
  <si>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</si>
  <si>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</si>
  <si>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</si>
  <si>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</si>
  <si>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</si>
  <si>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</si>
  <si>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</si>
  <si>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</si>
  <si>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</si>
  <si>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</si>
  <si>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</si>
  <si>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</si>
  <si>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</si>
  <si>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</si>
  <si>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</si>
  <si>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</si>
  <si>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</si>
  <si>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</si>
  <si>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</si>
  <si>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</si>
  <si>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</si>
  <si>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</si>
  <si>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</si>
  <si>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</si>
  <si>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</si>
  <si>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</si>
  <si>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</si>
  <si>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</si>
  <si>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</si>
  <si>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</si>
  <si>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</si>
  <si>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</si>
  <si>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</si>
  <si>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</si>
  <si>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</si>
  <si>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</si>
  <si>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</si>
  <si>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</si>
  <si>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</si>
  <si>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</si>
  <si>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</si>
  <si>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</si>
  <si>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</si>
  <si>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</si>
  <si>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</si>
  <si>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</si>
  <si>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</si>
  <si>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</si>
  <si>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</si>
  <si>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</si>
  <si>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</si>
  <si>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</si>
  <si>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</si>
  <si>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</si>
  <si>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</si>
  <si>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</si>
  <si>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</si>
  <si>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</si>
  <si>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</si>
  <si>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</si>
  <si>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</si>
  <si>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</si>
  <si>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</si>
  <si>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</si>
  <si>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</si>
  <si>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</si>
  <si>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</si>
  <si>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</si>
  <si>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</si>
  <si>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</si>
  <si>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</si>
  <si>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</si>
  <si>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</si>
  <si>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</si>
  <si>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</si>
  <si>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</si>
  <si>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</si>
  <si>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</si>
  <si>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</si>
  <si>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</si>
  <si>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</si>
  <si>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</si>
  <si>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</si>
  <si>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</si>
  <si>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</si>
  <si>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</si>
  <si>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</si>
  <si>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</si>
  <si>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</si>
  <si>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</si>
  <si>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</si>
  <si>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</si>
  <si>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</si>
  <si>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</si>
  <si>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</si>
  <si>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</si>
  <si>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</si>
  <si>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</si>
  <si>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</si>
  <si>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</si>
  <si>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</si>
  <si>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</si>
  <si>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</si>
  <si>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</si>
  <si>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</si>
  <si>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</si>
  <si>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</si>
  <si>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</si>
  <si>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</si>
  <si>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</si>
  <si>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</si>
  <si>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</si>
  <si>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</si>
  <si>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</si>
  <si>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</si>
  <si>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</si>
  <si>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</si>
  <si>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</si>
  <si>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</si>
  <si>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</si>
  <si>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</si>
  <si>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</si>
  <si>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</si>
  <si>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</si>
  <si>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</si>
  <si>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</si>
  <si>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</si>
  <si>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</si>
  <si>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</si>
  <si>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</si>
  <si>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</si>
  <si>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</si>
  <si>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</si>
  <si>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</si>
  <si>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</si>
  <si>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</si>
  <si>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</si>
  <si>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</si>
  <si>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</si>
  <si>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</si>
  <si>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</si>
  <si>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</si>
  <si>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</si>
  <si>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</si>
  <si>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</si>
  <si>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</si>
  <si>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</si>
  <si>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</si>
  <si>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</si>
  <si>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</si>
  <si>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</si>
  <si>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</si>
  <si>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</si>
  <si>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</si>
  <si>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</si>
  <si>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</si>
  <si>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</si>
  <si>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</si>
  <si>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</si>
  <si>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</si>
  <si>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</si>
  <si>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</si>
  <si>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</si>
  <si>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</si>
  <si>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</si>
  <si>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</si>
  <si>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</si>
  <si>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</si>
  <si>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</si>
  <si>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</si>
  <si>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</si>
  <si>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</si>
  <si>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</si>
  <si>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</si>
  <si>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</si>
  <si>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</si>
  <si>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</si>
  <si>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</si>
  <si>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</si>
  <si>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</si>
  <si>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</si>
  <si>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</si>
  <si>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</si>
  <si>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</si>
  <si>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</si>
  <si>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</si>
  <si>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</si>
  <si>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</si>
  <si>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</si>
  <si>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</si>
  <si>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</si>
  <si>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</si>
  <si>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</si>
  <si>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</si>
  <si>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</si>
  <si>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</si>
  <si>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</si>
  <si>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</si>
  <si>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</si>
  <si>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</si>
  <si>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</si>
  <si>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</si>
  <si>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</si>
  <si>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</si>
  <si>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</si>
  <si>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</si>
  <si>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</si>
  <si>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</si>
  <si>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</si>
  <si>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</si>
  <si>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</si>
  <si>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</si>
  <si>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</si>
  <si>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</si>
  <si>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</si>
  <si>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</si>
  <si>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</si>
  <si>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</si>
  <si>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</si>
  <si>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</si>
  <si>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</si>
  <si>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</si>
  <si>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</si>
  <si>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</si>
  <si>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</si>
  <si>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</si>
  <si>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</si>
  <si>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</si>
  <si>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</si>
  <si>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</si>
  <si>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</si>
  <si>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</si>
  <si>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</si>
  <si>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</si>
  <si>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</si>
  <si>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</si>
  <si>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</si>
  <si>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</si>
  <si>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</si>
  <si>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</si>
  <si>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</si>
  <si>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</si>
  <si>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</si>
  <si>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</si>
  <si>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</si>
  <si>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</si>
  <si>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</si>
  <si>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</si>
  <si>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</si>
  <si>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</si>
  <si>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</si>
  <si>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</si>
  <si>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</si>
  <si>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</si>
  <si>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</si>
  <si>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</si>
  <si>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</si>
  <si>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</si>
  <si>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</si>
  <si>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</si>
  <si>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</si>
  <si>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</si>
  <si>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</si>
  <si>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</si>
  <si>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</si>
  <si>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</si>
  <si>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</si>
  <si>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</si>
  <si>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</si>
  <si>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</si>
  <si>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</si>
  <si>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</si>
  <si>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</si>
  <si>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</si>
  <si>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</si>
  <si>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</si>
  <si>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</si>
  <si>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</si>
  <si>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</si>
  <si>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</si>
  <si>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</si>
  <si>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</si>
  <si>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</si>
  <si>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</si>
  <si>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</si>
  <si>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</si>
  <si>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</si>
  <si>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</si>
  <si>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</si>
  <si>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</si>
  <si>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</si>
  <si>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</si>
  <si>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</si>
  <si>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</si>
  <si>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</si>
  <si>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</si>
  <si>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</si>
  <si>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</si>
  <si>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</si>
  <si>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</si>
  <si>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</si>
  <si>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</si>
  <si>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</si>
  <si>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</si>
  <si>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</si>
  <si>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</si>
  <si>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</si>
  <si>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</si>
  <si>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</si>
  <si>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</si>
  <si>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</si>
  <si>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</si>
  <si>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</si>
  <si>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</si>
  <si>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</si>
  <si>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</si>
  <si>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</si>
  <si>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</si>
  <si>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</si>
  <si>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</si>
  <si>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</si>
  <si>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</si>
  <si>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</si>
  <si>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</si>
  <si>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</si>
  <si>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</si>
  <si>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</si>
  <si>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</si>
  <si>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</si>
  <si>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</si>
  <si>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</si>
  <si>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</si>
  <si>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</si>
  <si>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</si>
  <si>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</si>
  <si>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</si>
  <si>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</si>
  <si>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</si>
  <si>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</si>
  <si>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</si>
  <si>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</si>
  <si>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</si>
  <si>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</si>
  <si>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</si>
  <si>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</si>
  <si>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</si>
  <si>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</si>
  <si>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</si>
  <si>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</si>
  <si>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</si>
  <si>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</si>
  <si>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</si>
  <si>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</si>
  <si>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</si>
  <si>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</si>
  <si>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</si>
  <si>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</si>
  <si>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</si>
  <si>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</si>
  <si>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</si>
  <si>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</si>
  <si>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</si>
  <si>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</si>
  <si>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</si>
  <si>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</si>
  <si>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</si>
  <si>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</si>
  <si>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</si>
  <si>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</si>
  <si>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</si>
  <si>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</si>
  <si>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</si>
  <si>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</si>
  <si>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</si>
  <si>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</si>
  <si>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</si>
  <si>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</si>
  <si>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</si>
  <si>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</si>
  <si>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</si>
  <si>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</si>
  <si>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</si>
  <si>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</si>
  <si>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</si>
  <si>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</si>
  <si>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</si>
  <si>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</si>
  <si>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</si>
  <si>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</si>
  <si>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</si>
  <si>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</si>
  <si>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</si>
  <si>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</si>
  <si>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</si>
  <si>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</si>
  <si>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</si>
  <si>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</si>
  <si>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</si>
  <si>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</si>
  <si>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</si>
  <si>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</si>
  <si>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</si>
  <si>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</si>
  <si>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</si>
  <si>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</si>
  <si>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</si>
  <si>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</si>
  <si>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</si>
  <si>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</si>
  <si>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</si>
  <si>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</si>
  <si>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</si>
  <si>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</si>
  <si>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</si>
  <si>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</si>
  <si>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</si>
  <si>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</si>
  <si>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</si>
  <si>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</si>
  <si>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</si>
  <si>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</si>
  <si>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</si>
  <si>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</si>
  <si>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</si>
  <si>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</si>
  <si>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</si>
  <si>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</si>
  <si>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</si>
  <si>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</si>
  <si>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</si>
  <si>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</si>
  <si>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</si>
  <si>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</si>
  <si>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</si>
  <si>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</si>
  <si>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</si>
  <si>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</si>
  <si>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</si>
  <si>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</si>
  <si>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</si>
  <si>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</si>
  <si>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</si>
  <si>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</si>
  <si>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</si>
  <si>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</si>
  <si>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</si>
  <si>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</si>
  <si>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</si>
  <si>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</si>
  <si>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</si>
  <si>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</si>
  <si>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</si>
  <si>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</si>
  <si>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</si>
  <si>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</si>
  <si>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</si>
  <si>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</si>
  <si>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</si>
  <si>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</si>
  <si>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</si>
  <si>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</si>
  <si>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</si>
  <si>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</si>
  <si>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</si>
  <si>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</si>
  <si>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</si>
  <si>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</si>
  <si>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</si>
  <si>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</si>
  <si>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</si>
  <si>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</si>
  <si>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</si>
  <si>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</si>
  <si>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</si>
  <si>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</si>
  <si>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</si>
  <si>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</si>
  <si>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</si>
  <si>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</si>
  <si>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</si>
  <si>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</si>
  <si>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</si>
  <si>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</si>
  <si>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</si>
  <si>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</si>
  <si>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</si>
  <si>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</si>
  <si>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</si>
  <si>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</si>
  <si>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</si>
  <si>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</si>
  <si>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</si>
  <si>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</si>
  <si>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</si>
  <si>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</si>
  <si>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</si>
  <si>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</si>
  <si>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</si>
  <si>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</si>
  <si>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</si>
  <si>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</si>
  <si>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</si>
  <si>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</si>
  <si>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</si>
  <si>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</si>
  <si>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</si>
  <si>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</si>
  <si>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</si>
  <si>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</si>
  <si>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</si>
  <si>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</si>
  <si>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</si>
  <si>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</si>
  <si>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</si>
  <si>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</si>
  <si>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</si>
  <si>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</si>
  <si>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</si>
  <si>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</si>
  <si>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</si>
  <si>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</si>
  <si>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</si>
  <si>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</si>
  <si>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</si>
  <si>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</si>
  <si>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</si>
  <si>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</si>
  <si>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</si>
  <si>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</si>
  <si>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</si>
  <si>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</si>
  <si>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</si>
  <si>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</si>
  <si>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</si>
  <si>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</si>
  <si>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</si>
  <si>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</si>
  <si>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</si>
  <si>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</si>
  <si>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</si>
  <si>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</si>
  <si>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</si>
  <si>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</si>
  <si>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</si>
  <si>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</si>
  <si>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</si>
  <si>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</si>
  <si>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</si>
  <si>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</si>
  <si>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</si>
  <si>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</si>
  <si>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</si>
  <si>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</si>
  <si>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</si>
  <si>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</si>
  <si>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</si>
  <si>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</si>
  <si>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</si>
  <si>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</si>
  <si>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</si>
  <si>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</si>
  <si>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</si>
  <si>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</si>
  <si>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</si>
  <si>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</si>
  <si>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</si>
  <si>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</si>
  <si>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</si>
  <si>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</si>
  <si>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</si>
  <si>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</si>
  <si>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</si>
  <si>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</si>
  <si>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</si>
  <si>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</si>
  <si>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</si>
  <si>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</si>
  <si>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</si>
  <si>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</si>
  <si>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</si>
  <si>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</si>
  <si>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</si>
  <si>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</si>
  <si>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</si>
  <si>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</si>
  <si>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</si>
  <si>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</si>
  <si>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</si>
  <si>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</si>
  <si>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</si>
  <si>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</si>
  <si>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</si>
  <si>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</si>
  <si>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</si>
  <si>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</si>
  <si>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</si>
  <si>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</si>
  <si>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</si>
  <si>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</si>
  <si>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</si>
  <si>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</si>
  <si>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</si>
  <si>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</si>
  <si>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</si>
  <si>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</si>
  <si>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</si>
  <si>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</si>
  <si>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</si>
  <si>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</si>
  <si>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</si>
  <si>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</si>
  <si>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</si>
  <si>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</si>
  <si>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</si>
  <si>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</si>
  <si>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</si>
  <si>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</si>
  <si>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</si>
  <si>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</si>
  <si>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</si>
  <si>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</si>
  <si>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</si>
  <si>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</si>
  <si>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</si>
  <si>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</si>
  <si>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</si>
  <si>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</si>
  <si>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</si>
  <si>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</si>
  <si>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</si>
  <si>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</si>
  <si>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</si>
  <si>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</si>
  <si>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</si>
  <si>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</si>
  <si>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</si>
  <si>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</si>
  <si>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</si>
  <si>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</si>
  <si>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</si>
  <si>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</si>
  <si>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</si>
  <si>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</si>
  <si>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</si>
  <si>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</si>
  <si>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</si>
  <si>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</si>
  <si>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</si>
  <si>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</si>
  <si>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</si>
  <si>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</si>
  <si>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</si>
  <si>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</si>
  <si>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</si>
  <si>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</si>
  <si>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</si>
  <si>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</si>
  <si>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</si>
  <si>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</si>
  <si>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</si>
  <si>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</si>
  <si>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</si>
  <si>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</si>
  <si>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</si>
  <si>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</si>
  <si>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</si>
  <si>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</si>
  <si>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</si>
  <si>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</si>
  <si>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</si>
  <si>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</si>
  <si>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</si>
  <si>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</si>
  <si>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</si>
  <si>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</si>
  <si>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</si>
  <si>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</si>
  <si>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</si>
  <si>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</si>
  <si>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</si>
  <si>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</si>
  <si>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</si>
  <si>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</si>
  <si>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</si>
  <si>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</si>
  <si>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</si>
  <si>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</si>
  <si>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</si>
  <si>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</si>
  <si>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</si>
  <si>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</si>
  <si>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</si>
  <si>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</si>
  <si>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</si>
  <si>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</si>
  <si>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</si>
  <si>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</si>
  <si>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</si>
  <si>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</si>
  <si>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</si>
  <si>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</si>
  <si>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</si>
  <si>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</si>
  <si>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</si>
  <si>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</si>
  <si>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</si>
  <si>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</si>
  <si>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</si>
  <si>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</si>
  <si>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</si>
  <si>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</si>
  <si>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</si>
  <si>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</si>
  <si>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</si>
  <si>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</si>
  <si>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</si>
  <si>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</si>
  <si>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</si>
  <si>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</si>
  <si>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</si>
  <si>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</si>
  <si>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</si>
  <si>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</si>
  <si>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</si>
  <si>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</si>
  <si>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</si>
  <si>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</si>
  <si>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</si>
  <si>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</si>
  <si>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</si>
  <si>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</si>
  <si>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</si>
  <si>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</si>
  <si>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</si>
  <si>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</si>
  <si>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</si>
  <si>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</si>
  <si>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</si>
  <si>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</si>
  <si>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</si>
  <si>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</si>
  <si>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</si>
  <si>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</si>
  <si>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</si>
  <si>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</si>
  <si>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</si>
  <si>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</si>
  <si>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</si>
  <si>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</si>
  <si>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</si>
  <si>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</si>
  <si>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</si>
  <si>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</si>
  <si>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</si>
  <si>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</si>
  <si>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</si>
  <si>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</si>
  <si>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</si>
  <si>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</si>
  <si>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</si>
  <si>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</si>
  <si>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</si>
  <si>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</si>
  <si>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</si>
  <si>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</si>
  <si>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</si>
  <si>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</si>
  <si>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</si>
  <si>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</si>
  <si>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</si>
  <si>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</si>
  <si>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</si>
  <si>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</si>
  <si>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</si>
  <si>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</si>
  <si>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</si>
  <si>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</si>
  <si>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</si>
  <si>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</si>
  <si>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</si>
  <si>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</si>
  <si>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</si>
  <si>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</si>
  <si>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</si>
  <si>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</si>
  <si>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</si>
  <si>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</si>
  <si>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</si>
  <si>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</si>
  <si>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</si>
  <si>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</si>
  <si>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</si>
  <si>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</si>
  <si>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</si>
  <si>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</si>
  <si>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</si>
  <si>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</si>
  <si>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</si>
  <si>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</si>
  <si>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</si>
  <si>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</si>
  <si>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</si>
  <si>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</si>
  <si>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</si>
  <si>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</si>
  <si>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</si>
  <si>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</si>
  <si>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</si>
  <si>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</si>
  <si>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</si>
  <si>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</si>
  <si>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</si>
  <si>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</si>
  <si>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</si>
  <si>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</si>
  <si>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</si>
  <si>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</si>
  <si>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</si>
  <si>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</si>
  <si>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</si>
  <si>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</si>
  <si>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</si>
  <si>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</si>
  <si>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</si>
  <si>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</si>
  <si>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</si>
  <si>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</si>
  <si>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</si>
  <si>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</si>
  <si>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</si>
  <si>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</si>
  <si>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</si>
  <si>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</si>
  <si>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</si>
  <si>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</si>
  <si>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</si>
  <si>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</si>
  <si>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</si>
  <si>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</si>
  <si>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</si>
  <si>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</si>
  <si>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</si>
  <si>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</si>
  <si>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</si>
  <si>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</si>
  <si>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</si>
  <si>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</si>
  <si>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</si>
  <si>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</si>
  <si>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</si>
  <si>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</si>
  <si>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</si>
  <si>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</si>
  <si>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</si>
  <si>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</si>
  <si>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</si>
  <si>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</si>
  <si>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</si>
  <si>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</si>
  <si>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</si>
  <si>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</si>
  <si>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</si>
  <si>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</si>
  <si>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</si>
  <si>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</si>
  <si>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</si>
  <si>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</si>
  <si>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</si>
  <si>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</si>
  <si>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</si>
  <si>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</si>
  <si>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</si>
  <si>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</si>
  <si>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</si>
  <si>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</si>
  <si>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</si>
  <si>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</si>
  <si>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</si>
  <si>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</si>
  <si>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</si>
  <si>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</si>
  <si>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</si>
  <si>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</si>
  <si>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</si>
  <si>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</si>
  <si>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</si>
  <si>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</si>
  <si>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</si>
  <si>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</si>
  <si>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</si>
  <si>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</si>
  <si>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</si>
  <si>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</si>
  <si>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</si>
  <si>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</si>
  <si>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</si>
  <si>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</si>
  <si>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</si>
  <si>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</si>
  <si>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</si>
  <si>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</si>
  <si>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</si>
  <si>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</si>
  <si>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</si>
  <si>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</si>
  <si>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</si>
  <si>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</si>
  <si>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</si>
  <si>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</si>
  <si>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</si>
  <si>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</si>
  <si>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</si>
  <si>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</si>
  <si>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</si>
  <si>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</si>
  <si>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</si>
  <si>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</si>
  <si>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</si>
  <si>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</si>
  <si>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</si>
  <si>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</si>
  <si>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</si>
  <si>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</si>
  <si>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</si>
  <si>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</si>
  <si>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</si>
  <si>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</si>
  <si>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</si>
  <si>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</si>
  <si>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</si>
  <si>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</si>
  <si>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</si>
  <si>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</si>
  <si>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</si>
  <si>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</si>
  <si>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</si>
  <si>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</si>
  <si>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</si>
  <si>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</si>
  <si>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</si>
  <si>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</si>
  <si>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</si>
  <si>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</si>
  <si>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</si>
  <si>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</si>
  <si>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</si>
  <si>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</si>
  <si>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</si>
  <si>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</si>
  <si>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</si>
  <si>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</si>
  <si>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</si>
  <si>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</si>
  <si>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</si>
  <si>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</si>
  <si>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</si>
  <si>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</si>
  <si>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</si>
  <si>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</si>
  <si>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</si>
  <si>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</si>
  <si>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</si>
  <si>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</si>
  <si>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</si>
  <si>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</si>
  <si>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</si>
  <si>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</si>
  <si>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</si>
  <si>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</si>
  <si>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</si>
  <si>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</si>
  <si>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</si>
  <si>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</si>
  <si>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</si>
  <si>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</si>
  <si>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</si>
  <si>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</si>
  <si>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</si>
  <si>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</si>
  <si>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</si>
  <si>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</si>
  <si>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</si>
  <si>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</si>
  <si>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</si>
  <si>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</si>
  <si>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</si>
  <si>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</si>
  <si>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</si>
  <si>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</si>
  <si>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</si>
  <si>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</si>
  <si>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</si>
  <si>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</si>
  <si>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</si>
  <si>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</si>
  <si>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</si>
  <si>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</si>
  <si>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</si>
  <si>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</si>
  <si>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</si>
  <si>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</si>
  <si>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</si>
  <si>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</si>
  <si>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</si>
  <si>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</si>
  <si>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</si>
  <si>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</si>
  <si>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</si>
  <si>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</si>
  <si>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</si>
  <si>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</si>
  <si>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</si>
  <si>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</si>
  <si>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</si>
  <si>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</si>
  <si>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</si>
  <si>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</si>
  <si>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</si>
  <si>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</si>
  <si>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</si>
  <si>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</si>
  <si>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</si>
  <si>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</si>
  <si>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</si>
  <si>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</si>
  <si>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</si>
  <si>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</si>
  <si>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</si>
  <si>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</si>
  <si>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</si>
  <si>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</si>
  <si>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</si>
  <si>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</si>
  <si>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</si>
  <si>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</si>
  <si>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</si>
  <si>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</si>
  <si>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</si>
  <si>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</si>
  <si>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</si>
  <si>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</si>
  <si>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</si>
  <si>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</si>
  <si>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</si>
  <si>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</si>
  <si>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</si>
  <si>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</si>
  <si>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</si>
  <si>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</si>
  <si>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</si>
  <si>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</si>
  <si>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</si>
  <si>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</si>
  <si>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</si>
  <si>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</si>
  <si>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</si>
  <si>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</si>
  <si>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</si>
  <si>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</si>
  <si>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</si>
  <si>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</si>
  <si>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</si>
  <si>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</si>
  <si>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</si>
  <si>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</si>
  <si>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</si>
  <si>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</si>
  <si>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</si>
  <si>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</si>
  <si>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</si>
  <si>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</si>
  <si>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</si>
  <si>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</si>
  <si>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</si>
  <si>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</si>
  <si>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</si>
  <si>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</si>
  <si>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</si>
  <si>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</si>
  <si>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</si>
  <si>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</si>
  <si>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</si>
  <si>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</si>
  <si>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</si>
  <si>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</si>
  <si>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</si>
  <si>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</si>
  <si>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</si>
  <si>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</si>
  <si>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</si>
  <si>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</si>
  <si>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</si>
  <si>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</si>
  <si>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</si>
  <si>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</si>
  <si>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</si>
  <si>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</si>
  <si>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</si>
  <si>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</si>
  <si>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</si>
  <si>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</si>
  <si>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</si>
  <si>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</si>
  <si>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</si>
  <si>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</si>
  <si>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</si>
  <si>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</si>
  <si>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</si>
  <si>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</si>
  <si>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</si>
  <si>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</si>
  <si>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</si>
  <si>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</si>
  <si>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</si>
  <si>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</si>
  <si>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</si>
  <si>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</si>
  <si>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</si>
  <si>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</si>
  <si>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</si>
  <si>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</si>
  <si>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</si>
  <si>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</si>
  <si>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</si>
  <si>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</si>
  <si>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</si>
  <si>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</si>
  <si>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</si>
  <si>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</si>
  <si>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</si>
  <si>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</si>
  <si>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</si>
  <si>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</si>
  <si>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</si>
  <si>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</si>
  <si>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</si>
  <si>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</si>
  <si>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</si>
  <si>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</si>
  <si>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</si>
  <si>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</si>
  <si>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</si>
  <si>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</si>
  <si>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</si>
  <si>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</si>
  <si>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</si>
  <si>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</si>
  <si>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</si>
  <si>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</si>
  <si>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</si>
  <si>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</si>
  <si>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</si>
  <si>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</si>
  <si>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</si>
  <si>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</si>
  <si>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</si>
  <si>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</si>
  <si>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</si>
  <si>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</si>
  <si>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</si>
  <si>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</si>
  <si>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</si>
  <si>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</si>
  <si>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</si>
  <si>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</si>
  <si>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</si>
  <si>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</si>
  <si>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</si>
  <si>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</si>
  <si>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</si>
  <si>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</si>
  <si>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</si>
  <si>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</si>
  <si>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</si>
  <si>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</si>
  <si>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</si>
  <si>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</si>
  <si>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</si>
  <si>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</si>
  <si>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</si>
  <si>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</si>
  <si>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</si>
  <si>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</si>
  <si>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</si>
  <si>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</si>
  <si>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</si>
  <si>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</si>
  <si>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</si>
  <si>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</si>
  <si>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</si>
  <si>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</si>
  <si>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</si>
  <si>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</si>
  <si>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</si>
  <si>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</si>
  <si>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</si>
  <si>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</si>
  <si>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</si>
  <si>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</si>
  <si>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</si>
  <si>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</si>
  <si>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</si>
  <si>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</si>
  <si>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</si>
  <si>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</si>
  <si>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</si>
  <si>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</si>
  <si>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</si>
  <si>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</si>
  <si>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</si>
  <si>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</si>
  <si>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</si>
  <si>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</si>
  <si>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</si>
  <si>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</si>
  <si>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</si>
  <si>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</si>
  <si>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</si>
  <si>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</si>
  <si>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</si>
  <si>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</si>
  <si>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</si>
  <si>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</si>
  <si>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</si>
  <si>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</si>
  <si>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</si>
  <si>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</si>
  <si>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</si>
  <si>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</si>
  <si>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</si>
  <si>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</si>
  <si>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</si>
  <si>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</si>
  <si>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</si>
  <si>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</si>
  <si>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</si>
  <si>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</si>
  <si>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</si>
  <si>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</si>
  <si>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</si>
  <si>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</si>
  <si>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</si>
  <si>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</si>
  <si>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</si>
  <si>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</si>
  <si>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</si>
  <si>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</si>
  <si>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</si>
  <si>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</si>
  <si>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</si>
  <si>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</si>
  <si>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</si>
  <si>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</si>
  <si>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</si>
  <si>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</si>
  <si>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</si>
  <si>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</si>
  <si>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</si>
  <si>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</si>
  <si>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</si>
  <si>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</si>
  <si>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</si>
  <si>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</si>
  <si>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</si>
  <si>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</si>
  <si>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</si>
  <si>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</si>
  <si>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</si>
  <si>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</si>
  <si>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</si>
  <si>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</si>
  <si>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</si>
  <si>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</si>
  <si>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</si>
  <si>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</si>
  <si>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</si>
  <si>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</si>
  <si>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</si>
  <si>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</si>
  <si>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</si>
  <si>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</si>
  <si>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</si>
  <si>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</si>
  <si>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</si>
  <si>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</si>
  <si>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</si>
  <si>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</si>
  <si>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</si>
  <si>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</si>
  <si>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</si>
  <si>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</si>
  <si>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</si>
  <si>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</si>
  <si>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</si>
  <si>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</si>
  <si>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</si>
  <si>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</si>
  <si>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</si>
  <si>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</si>
  <si>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</si>
  <si>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</si>
  <si>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</si>
  <si>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</si>
  <si>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</si>
  <si>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</si>
  <si>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</si>
  <si>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</si>
  <si>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</si>
  <si>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</si>
  <si>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</si>
  <si>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</si>
  <si>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</si>
  <si>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</si>
  <si>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</si>
  <si>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</si>
  <si>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</si>
  <si>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</si>
  <si>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</si>
  <si>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</si>
  <si>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</si>
  <si>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</si>
  <si>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</si>
  <si>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</si>
  <si>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</si>
  <si>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</si>
  <si>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</si>
  <si>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</si>
  <si>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</si>
  <si>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</si>
  <si>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</si>
  <si>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</si>
  <si>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</si>
  <si>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</si>
  <si>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</si>
  <si>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</si>
  <si>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</si>
  <si>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</si>
  <si>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</si>
  <si>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</si>
  <si>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</si>
  <si>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</si>
  <si>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</si>
  <si>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</si>
  <si>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</si>
  <si>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</si>
  <si>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</si>
  <si>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</si>
  <si>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</si>
  <si>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</si>
  <si>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</si>
  <si>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</si>
  <si>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</si>
  <si>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</si>
  <si>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</si>
  <si>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</si>
  <si>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</si>
  <si>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</si>
  <si>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</si>
  <si>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</si>
  <si>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</si>
  <si>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</si>
  <si>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</si>
  <si>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</si>
  <si>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</si>
  <si>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</si>
  <si>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</si>
  <si>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</si>
  <si>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</si>
  <si>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</si>
  <si>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</si>
  <si>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</si>
  <si>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</si>
  <si>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</si>
  <si>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</si>
  <si>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</si>
  <si>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</si>
  <si>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</si>
  <si>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</si>
  <si>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</si>
  <si>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</si>
  <si>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</si>
  <si>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</si>
  <si>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</si>
  <si>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</si>
  <si>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</si>
  <si>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</si>
  <si>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</si>
  <si>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</si>
  <si>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</si>
  <si>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</si>
  <si>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</si>
  <si>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</si>
  <si>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</si>
  <si>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</si>
  <si>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</si>
  <si>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</si>
  <si>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</si>
  <si>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</si>
  <si>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</si>
  <si>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</si>
  <si>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</si>
  <si>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</si>
  <si>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</si>
  <si>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</si>
  <si>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</si>
  <si>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</si>
  <si>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</si>
  <si>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</si>
  <si>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</si>
  <si>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</si>
  <si>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</si>
  <si>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</si>
  <si>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</si>
  <si>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</si>
  <si>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</si>
  <si>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</si>
  <si>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</si>
  <si>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</si>
  <si>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</si>
  <si>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</si>
  <si>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</si>
  <si>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</si>
  <si>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</si>
  <si>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</si>
  <si>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</si>
  <si>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</si>
  <si>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</si>
  <si>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</si>
  <si>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</si>
  <si>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</si>
  <si>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</si>
  <si>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</si>
  <si>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</si>
  <si>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</si>
  <si>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</si>
  <si>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</si>
  <si>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</si>
  <si>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</si>
  <si>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</si>
  <si>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</si>
  <si>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</si>
  <si>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</si>
  <si>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</si>
  <si>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</si>
  <si>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</si>
  <si>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</si>
  <si>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</si>
  <si>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</si>
  <si>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</si>
  <si>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</si>
  <si>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</si>
  <si>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</si>
  <si>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</si>
  <si>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</si>
  <si>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</si>
  <si>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</si>
  <si>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</si>
  <si>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</si>
  <si>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</si>
  <si>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</si>
  <si>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</si>
  <si>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</si>
  <si>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</si>
  <si>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</si>
  <si>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</si>
  <si>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</si>
  <si>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</si>
  <si>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</si>
  <si>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</si>
  <si>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</si>
  <si>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</si>
  <si>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</si>
  <si>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</si>
  <si>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</si>
  <si>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</si>
  <si>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</si>
  <si>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</si>
  <si>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</si>
  <si>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</si>
  <si>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</si>
  <si>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</si>
  <si>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</si>
  <si>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</si>
  <si>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</si>
  <si>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</si>
  <si>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</si>
  <si>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</si>
  <si>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</si>
  <si>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</si>
  <si>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</si>
  <si>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</si>
  <si>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</si>
  <si>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</si>
  <si>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</si>
  <si>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</si>
  <si>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</si>
  <si>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</si>
  <si>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</si>
  <si>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</si>
  <si>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</si>
  <si>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</si>
  <si>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</si>
  <si>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</si>
  <si>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</si>
  <si>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</si>
  <si>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</si>
  <si>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</si>
  <si>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</si>
  <si>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</si>
  <si>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</si>
  <si>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</si>
  <si>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</si>
  <si>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</si>
  <si>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</si>
  <si>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</si>
  <si>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</si>
  <si>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</si>
  <si>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</si>
  <si>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</si>
  <si>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</si>
  <si>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</si>
  <si>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</si>
  <si>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</si>
  <si>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</si>
  <si>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</si>
  <si>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</si>
  <si>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</si>
  <si>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</si>
  <si>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</si>
  <si>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</si>
  <si>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</si>
  <si>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</si>
  <si>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</si>
  <si>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</si>
  <si>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</si>
  <si>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</si>
  <si>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</si>
  <si>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</si>
  <si>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</si>
  <si>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</si>
  <si>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</si>
  <si>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</si>
  <si>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</si>
  <si>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</si>
  <si>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</si>
  <si>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</si>
  <si>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</si>
  <si>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</si>
  <si>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</si>
  <si>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</si>
  <si>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</si>
  <si>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</si>
  <si>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</si>
  <si>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</si>
  <si>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</si>
  <si>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</si>
  <si>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</si>
  <si>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</si>
  <si>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</si>
  <si>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</si>
  <si>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</si>
  <si>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</si>
  <si>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</si>
  <si>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</si>
  <si>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</si>
  <si>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</si>
  <si>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</si>
  <si>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</si>
  <si>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</si>
  <si>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</si>
  <si>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</si>
  <si>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</si>
  <si>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</si>
  <si>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</si>
  <si>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</si>
  <si>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</si>
  <si>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</si>
  <si>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</si>
  <si>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</si>
  <si>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</si>
  <si>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</si>
  <si>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</si>
  <si>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</si>
  <si>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</si>
  <si>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</si>
  <si>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</si>
  <si>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</si>
  <si>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</si>
  <si>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</si>
  <si>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</si>
  <si>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</si>
  <si>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</si>
  <si>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</si>
  <si>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</si>
  <si>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</si>
  <si>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</si>
  <si>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</si>
  <si>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</si>
  <si>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</si>
  <si>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</si>
  <si>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</si>
  <si>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</si>
  <si>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</si>
  <si>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</si>
  <si>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</si>
  <si>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</si>
  <si>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</si>
  <si>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</si>
  <si>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</si>
  <si>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</si>
  <si>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</si>
  <si>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</si>
  <si>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</si>
  <si>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</si>
  <si>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</si>
  <si>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</si>
  <si>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</si>
  <si>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</si>
  <si>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</si>
  <si>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</si>
  <si>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</si>
  <si>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</si>
  <si>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</si>
  <si>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</si>
  <si>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</si>
  <si>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</si>
  <si>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</si>
  <si>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</si>
  <si>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</si>
  <si>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</si>
  <si>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</si>
  <si>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</si>
  <si>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</si>
  <si>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</si>
  <si>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</si>
  <si>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</si>
  <si>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</si>
  <si>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</si>
  <si>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</si>
  <si>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</si>
  <si>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</si>
  <si>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</si>
  <si>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</si>
  <si>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</si>
  <si>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</si>
  <si>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</si>
  <si>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</si>
  <si>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</si>
  <si>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</si>
  <si>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</si>
  <si>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</si>
  <si>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</si>
  <si>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</si>
  <si>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</si>
  <si>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</si>
  <si>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</si>
  <si>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</si>
  <si>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</si>
  <si>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</si>
  <si>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</si>
  <si>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</si>
  <si>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</si>
  <si>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</si>
  <si>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</si>
  <si>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</si>
  <si>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</si>
  <si>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</si>
  <si>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</si>
  <si>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</si>
  <si>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</si>
  <si>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</si>
  <si>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</si>
  <si>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</si>
  <si>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</si>
  <si>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</si>
  <si>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</si>
  <si>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</si>
  <si>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</si>
  <si>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</si>
  <si>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</si>
  <si>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</si>
  <si>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</si>
  <si>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</si>
  <si>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</si>
  <si>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</si>
  <si>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</si>
  <si>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</si>
  <si>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</si>
  <si>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</si>
  <si>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</si>
  <si>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</si>
  <si>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</si>
  <si>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</si>
  <si>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</si>
  <si>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</si>
  <si>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</si>
  <si>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</si>
  <si>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</si>
  <si>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</si>
  <si>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</si>
  <si>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</si>
  <si>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</si>
  <si>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</si>
  <si>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</si>
  <si>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</si>
  <si>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</si>
  <si>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</si>
  <si>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</si>
  <si>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</si>
  <si>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</si>
  <si>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</si>
  <si>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</si>
  <si>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</si>
  <si>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</si>
  <si>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</si>
  <si>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</si>
  <si>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</si>
  <si>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</si>
  <si>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</si>
  <si>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</si>
  <si>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</si>
  <si>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</si>
  <si>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</si>
  <si>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</si>
  <si>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</si>
  <si>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</si>
  <si>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</si>
  <si>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</si>
  <si>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</si>
  <si>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</si>
  <si>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</si>
  <si>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</si>
  <si>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</si>
  <si>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</si>
  <si>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</si>
  <si>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</si>
  <si>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</si>
  <si>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</si>
  <si>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</si>
  <si>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</si>
  <si>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</si>
  <si>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</si>
  <si>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</si>
  <si>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</si>
  <si>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</si>
  <si>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</si>
  <si>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</si>
  <si>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</si>
  <si>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</si>
  <si>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</si>
  <si>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</si>
  <si>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</si>
  <si>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</si>
  <si>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</si>
  <si>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</si>
  <si>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</si>
  <si>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</si>
  <si>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</si>
  <si>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</si>
  <si>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</si>
  <si>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</si>
  <si>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</si>
  <si>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</si>
  <si>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</si>
  <si>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</si>
  <si>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</si>
  <si>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</si>
  <si>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</si>
  <si>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</si>
  <si>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</si>
  <si>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</si>
  <si>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</si>
  <si>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</si>
  <si>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</si>
  <si>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</si>
  <si>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</si>
  <si>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</si>
  <si>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</si>
  <si>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</si>
  <si>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</si>
  <si>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</si>
  <si>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</si>
  <si>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</si>
  <si>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</si>
  <si>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</si>
  <si>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</si>
  <si>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</si>
  <si>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</si>
  <si>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</si>
  <si>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</si>
  <si>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</si>
  <si>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</si>
  <si>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</si>
  <si>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</si>
  <si>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</si>
  <si>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</si>
  <si>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</si>
  <si>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</si>
  <si>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</si>
  <si>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</si>
  <si>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</si>
  <si>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</si>
  <si>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</si>
  <si>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</si>
  <si>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</si>
  <si>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</si>
  <si>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</si>
  <si>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</si>
  <si>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</si>
  <si>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</si>
  <si>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</si>
  <si>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</si>
  <si>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</si>
  <si>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</si>
  <si>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</si>
  <si>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</si>
  <si>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</si>
  <si>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</si>
  <si>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</si>
  <si>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</si>
  <si>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</si>
  <si>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</si>
  <si>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</si>
  <si>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</si>
  <si>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</si>
  <si>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</si>
  <si>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</si>
  <si>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</si>
  <si>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</si>
  <si>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</si>
  <si>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</si>
  <si>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</si>
  <si>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</si>
  <si>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</si>
  <si>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</si>
  <si>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</si>
  <si>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</si>
  <si>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</si>
  <si>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</si>
  <si>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</si>
  <si>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</si>
  <si>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</si>
  <si>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</si>
  <si>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</si>
  <si>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</si>
  <si>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</si>
  <si>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</si>
  <si>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</si>
  <si>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</si>
  <si>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</si>
  <si>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</si>
  <si>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</si>
  <si>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</si>
  <si>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</si>
  <si>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</si>
  <si>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</si>
  <si>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</si>
  <si>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</si>
  <si>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</si>
  <si>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</si>
  <si>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</si>
  <si>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</si>
  <si>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</si>
  <si>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</si>
  <si>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</si>
  <si>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</si>
  <si>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</si>
  <si>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</si>
  <si>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</si>
  <si>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</si>
  <si>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</si>
  <si>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</si>
  <si>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</si>
  <si>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</si>
  <si>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</si>
  <si>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</si>
  <si>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</si>
  <si>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</si>
  <si>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</si>
  <si>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</si>
  <si>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</si>
  <si>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</si>
  <si>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</si>
  <si>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</si>
  <si>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</si>
  <si>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</si>
  <si>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</si>
  <si>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</si>
  <si>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</si>
  <si>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</si>
  <si>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</si>
  <si>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</si>
  <si>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</si>
  <si>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</si>
  <si>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</si>
  <si>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</si>
  <si>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</si>
  <si>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</si>
  <si>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</si>
  <si>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</si>
  <si>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</si>
  <si>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</si>
  <si>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</si>
  <si>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</si>
  <si>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</si>
  <si>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</si>
  <si>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</si>
  <si>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</si>
  <si>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</si>
  <si>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</si>
  <si>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</si>
  <si>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</si>
  <si>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</si>
  <si>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</si>
  <si>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</si>
  <si>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</si>
  <si>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</si>
  <si>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</si>
  <si>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</si>
  <si>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</si>
  <si>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</si>
  <si>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</si>
  <si>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</si>
  <si>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</si>
  <si>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</si>
  <si>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</si>
  <si>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</si>
  <si>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</si>
  <si>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</si>
  <si>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</si>
  <si>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</si>
  <si>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</si>
  <si>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</si>
  <si>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</si>
  <si>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</si>
  <si>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</si>
  <si>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</si>
  <si>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</si>
  <si>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</si>
  <si>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</si>
  <si>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</si>
  <si>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</si>
  <si>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</si>
  <si>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</si>
  <si>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</si>
  <si>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</si>
  <si>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</si>
  <si>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</si>
  <si>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</si>
  <si>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</si>
  <si>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</si>
  <si>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</si>
  <si>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</si>
  <si>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</si>
  <si>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</si>
  <si>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</si>
  <si>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</si>
  <si>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</si>
  <si>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</si>
  <si>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</si>
  <si>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</si>
  <si>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</si>
  <si>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</si>
  <si>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</si>
  <si>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</si>
  <si>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</si>
  <si>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</si>
  <si>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</si>
  <si>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</si>
  <si>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</si>
  <si>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</si>
  <si>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</si>
  <si>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</si>
  <si>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</si>
  <si>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</si>
  <si>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</si>
  <si>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</si>
  <si>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</si>
  <si>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</si>
  <si>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</si>
  <si>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</si>
  <si>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</si>
  <si>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</si>
  <si>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</si>
  <si>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</si>
  <si>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</si>
  <si>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</si>
  <si>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</si>
  <si>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</si>
  <si>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</si>
  <si>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</si>
  <si>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</si>
  <si>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</si>
  <si>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</si>
  <si>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</si>
  <si>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</si>
  <si>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</si>
  <si>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</si>
  <si>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</si>
  <si>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</si>
  <si>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</si>
  <si>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</si>
  <si>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</si>
  <si>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Ⅶ-石龙开发区</t>
  </si>
  <si>
    <t>工业</t>
    <phoneticPr fontId="3" type="noConversion"/>
  </si>
  <si>
    <t>是</t>
  </si>
  <si>
    <t>地上</t>
  </si>
  <si>
    <t>估价对象容积率</t>
  </si>
  <si>
    <t>不临65条商业街</t>
  </si>
  <si>
    <t>较好</t>
  </si>
  <si>
    <t>一般</t>
  </si>
  <si>
    <t>未包含在土地购买价格中</t>
  </si>
  <si>
    <t>全部缴纳</t>
  </si>
  <si>
    <t>已包含在土地取得成本中</t>
  </si>
  <si>
    <t>成新度</t>
  </si>
  <si>
    <t>收益法</t>
  </si>
  <si>
    <t>押一</t>
  </si>
  <si>
    <t>钢混</t>
  </si>
  <si>
    <t>生产用房</t>
  </si>
  <si>
    <t>成本法</t>
  </si>
  <si>
    <t>现房</t>
  </si>
  <si>
    <t>项目全部</t>
  </si>
  <si>
    <t>总价</t>
  </si>
  <si>
    <t>成本比率</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</si>
  <si>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</si>
  <si>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</si>
  <si>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</si>
  <si>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</si>
  <si>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</si>
  <si>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</si>
  <si>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</si>
  <si>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</si>
  <si>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</si>
  <si>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</si>
  <si>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</si>
  <si>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否</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</si>
  <si>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</si>
  <si>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</si>
  <si>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</si>
  <si>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</si>
  <si>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</si>
  <si>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</si>
  <si>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与级别开发程度不一致</t>
  </si>
  <si>
    <t>通路</t>
  </si>
  <si>
    <t>通电</t>
  </si>
  <si>
    <t>通讯</t>
  </si>
  <si>
    <t>通上水</t>
  </si>
  <si>
    <t>通下水</t>
  </si>
  <si>
    <t>通热</t>
  </si>
  <si>
    <t>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</si>
</sst>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i/>
      <sz val="11"/>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270" fillId="22" borderId="0" xfId="0" applyFont="1" applyFill="1" applyAlignment="1" applyProtection="1">
      <alignment horizontal="right" vertical="center" wrapText="1"/>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190500</xdr:colOff>
      <xdr:row>0</xdr:row>
      <xdr:rowOff>0</xdr:rowOff>
    </xdr:from>
    <xdr:to>
      <xdr:col>15</xdr:col>
      <xdr:colOff>123490</xdr:colOff>
      <xdr:row>14</xdr:row>
      <xdr:rowOff>18748</xdr:rowOff>
    </xdr:to>
    <xdr:pic>
      <xdr:nvPicPr>
        <xdr:cNvPr id="2" name="图片 1">
          <a:extLst>
            <a:ext uri="{FF2B5EF4-FFF2-40B4-BE49-F238E27FC236}">
              <a16:creationId xmlns:a16="http://schemas.microsoft.com/office/drawing/2014/main" id="{5B319C84-768D-DC2A-51AD-3DB165CA9CEE}"/>
            </a:ext>
          </a:extLst>
        </xdr:cNvPr>
        <xdr:cNvPicPr>
          <a:picLocks noChangeAspect="1"/>
        </xdr:cNvPicPr>
      </xdr:nvPicPr>
      <xdr:blipFill>
        <a:blip xmlns:r="http://schemas.openxmlformats.org/officeDocument/2006/relationships" r:embed="rId1"/>
        <a:stretch>
          <a:fillRect/>
        </a:stretch>
      </xdr:blipFill>
      <xdr:spPr>
        <a:xfrm>
          <a:off x="7734300" y="0"/>
          <a:ext cx="2676190" cy="2419048"/>
        </a:xfrm>
        <a:prstGeom prst="rect">
          <a:avLst/>
        </a:prstGeom>
      </xdr:spPr>
    </xdr:pic>
    <xdr:clientData/>
  </xdr:twoCellAnchor>
  <xdr:twoCellAnchor editAs="oneCell">
    <xdr:from>
      <xdr:col>0</xdr:col>
      <xdr:colOff>0</xdr:colOff>
      <xdr:row>20</xdr:row>
      <xdr:rowOff>38100</xdr:rowOff>
    </xdr:from>
    <xdr:to>
      <xdr:col>10</xdr:col>
      <xdr:colOff>246762</xdr:colOff>
      <xdr:row>54</xdr:row>
      <xdr:rowOff>94514</xdr:rowOff>
    </xdr:to>
    <xdr:pic>
      <xdr:nvPicPr>
        <xdr:cNvPr id="3" name="图片 2">
          <a:extLst>
            <a:ext uri="{FF2B5EF4-FFF2-40B4-BE49-F238E27FC236}">
              <a16:creationId xmlns:a16="http://schemas.microsoft.com/office/drawing/2014/main" id="{985755B8-DBDB-AF8D-C0BB-5F249A26369E}"/>
            </a:ext>
          </a:extLst>
        </xdr:cNvPr>
        <xdr:cNvPicPr>
          <a:picLocks noChangeAspect="1"/>
        </xdr:cNvPicPr>
      </xdr:nvPicPr>
      <xdr:blipFill>
        <a:blip xmlns:r="http://schemas.openxmlformats.org/officeDocument/2006/relationships" r:embed="rId2"/>
        <a:stretch>
          <a:fillRect/>
        </a:stretch>
      </xdr:blipFill>
      <xdr:spPr>
        <a:xfrm>
          <a:off x="0" y="3467100"/>
          <a:ext cx="7104762" cy="5885714"/>
        </a:xfrm>
        <a:prstGeom prst="rect">
          <a:avLst/>
        </a:prstGeom>
      </xdr:spPr>
    </xdr:pic>
    <xdr:clientData/>
  </xdr:twoCellAnchor>
  <xdr:twoCellAnchor editAs="oneCell">
    <xdr:from>
      <xdr:col>0</xdr:col>
      <xdr:colOff>0</xdr:colOff>
      <xdr:row>0</xdr:row>
      <xdr:rowOff>0</xdr:rowOff>
    </xdr:from>
    <xdr:to>
      <xdr:col>11</xdr:col>
      <xdr:colOff>151438</xdr:colOff>
      <xdr:row>19</xdr:row>
      <xdr:rowOff>151974</xdr:rowOff>
    </xdr:to>
    <xdr:pic>
      <xdr:nvPicPr>
        <xdr:cNvPr id="4" name="图片 3">
          <a:extLst>
            <a:ext uri="{FF2B5EF4-FFF2-40B4-BE49-F238E27FC236}">
              <a16:creationId xmlns:a16="http://schemas.microsoft.com/office/drawing/2014/main" id="{661BCB23-AB7A-84A8-47B1-5587791C3BF0}"/>
            </a:ext>
          </a:extLst>
        </xdr:cNvPr>
        <xdr:cNvPicPr>
          <a:picLocks noChangeAspect="1"/>
        </xdr:cNvPicPr>
      </xdr:nvPicPr>
      <xdr:blipFill>
        <a:blip xmlns:r="http://schemas.openxmlformats.org/officeDocument/2006/relationships" r:embed="rId3"/>
        <a:stretch>
          <a:fillRect/>
        </a:stretch>
      </xdr:blipFill>
      <xdr:spPr>
        <a:xfrm>
          <a:off x="0" y="0"/>
          <a:ext cx="7695238" cy="3409524"/>
        </a:xfrm>
        <a:prstGeom prst="rect">
          <a:avLst/>
        </a:prstGeom>
      </xdr:spPr>
    </xdr:pic>
    <xdr:clientData/>
  </xdr:twoCellAnchor>
  <xdr:twoCellAnchor editAs="oneCell">
    <xdr:from>
      <xdr:col>11</xdr:col>
      <xdr:colOff>504825</xdr:colOff>
      <xdr:row>14</xdr:row>
      <xdr:rowOff>95250</xdr:rowOff>
    </xdr:from>
    <xdr:to>
      <xdr:col>31</xdr:col>
      <xdr:colOff>493587</xdr:colOff>
      <xdr:row>51</xdr:row>
      <xdr:rowOff>151600</xdr:rowOff>
    </xdr:to>
    <xdr:pic>
      <xdr:nvPicPr>
        <xdr:cNvPr id="5" name="图片 4">
          <a:extLst>
            <a:ext uri="{FF2B5EF4-FFF2-40B4-BE49-F238E27FC236}">
              <a16:creationId xmlns:a16="http://schemas.microsoft.com/office/drawing/2014/main" id="{F7C21443-3AFD-FBCD-A4A9-CCB75BE5171F}"/>
            </a:ext>
          </a:extLst>
        </xdr:cNvPr>
        <xdr:cNvPicPr>
          <a:picLocks noChangeAspect="1"/>
        </xdr:cNvPicPr>
      </xdr:nvPicPr>
      <xdr:blipFill>
        <a:blip xmlns:r="http://schemas.openxmlformats.org/officeDocument/2006/relationships" r:embed="rId4"/>
        <a:stretch>
          <a:fillRect/>
        </a:stretch>
      </xdr:blipFill>
      <xdr:spPr>
        <a:xfrm>
          <a:off x="8048625" y="2495550"/>
          <a:ext cx="13704762" cy="6400000"/>
        </a:xfrm>
        <a:prstGeom prst="rect">
          <a:avLst/>
        </a:prstGeom>
      </xdr:spPr>
    </xdr:pic>
    <xdr:clientData/>
  </xdr:twoCellAnchor>
  <xdr:twoCellAnchor editAs="oneCell">
    <xdr:from>
      <xdr:col>11</xdr:col>
      <xdr:colOff>619125</xdr:colOff>
      <xdr:row>52</xdr:row>
      <xdr:rowOff>104775</xdr:rowOff>
    </xdr:from>
    <xdr:to>
      <xdr:col>25</xdr:col>
      <xdr:colOff>570306</xdr:colOff>
      <xdr:row>92</xdr:row>
      <xdr:rowOff>122965</xdr:rowOff>
    </xdr:to>
    <xdr:pic>
      <xdr:nvPicPr>
        <xdr:cNvPr id="6" name="图片 5">
          <a:extLst>
            <a:ext uri="{FF2B5EF4-FFF2-40B4-BE49-F238E27FC236}">
              <a16:creationId xmlns:a16="http://schemas.microsoft.com/office/drawing/2014/main" id="{9069292C-096A-3DF6-F2F0-BB5A78BA3A3A}"/>
            </a:ext>
          </a:extLst>
        </xdr:cNvPr>
        <xdr:cNvPicPr>
          <a:picLocks noChangeAspect="1"/>
        </xdr:cNvPicPr>
      </xdr:nvPicPr>
      <xdr:blipFill>
        <a:blip xmlns:r="http://schemas.openxmlformats.org/officeDocument/2006/relationships" r:embed="rId5"/>
        <a:stretch>
          <a:fillRect/>
        </a:stretch>
      </xdr:blipFill>
      <xdr:spPr>
        <a:xfrm>
          <a:off x="8162925" y="9020175"/>
          <a:ext cx="9552381" cy="6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估价对象为北京市房地产，为所有。根据《国有土地使用证》[]，估价对象（分摊）出让国有建设用地使用权面积为6544.93平方米，建筑面积为6647.2平方米。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估价对象为北京市房地产,为开发建设的，该项目尚在开发建设中。根据《国有土地使用证》[]，估价对象（分摊）出让国有建设用地使用权面积为6544.93平方米，规划建筑面积为6647.2平方米。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2025年2月7日（评估专业人员实地查勘之日）</v>
      </c>
    </row>
    <row r="13" spans="1:2">
      <c r="A13" s="1097" t="s">
        <v>529</v>
      </c>
      <c r="B13" s="1098" t="str">
        <f>'预评函-1'!A18</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4511</v>
      </c>
    </row>
    <row r="21" spans="1:2">
      <c r="A21" s="1097" t="s">
        <v>537</v>
      </c>
      <c r="B21" s="1098">
        <f ca="1">'预评函-2'!D7</f>
        <v>6786</v>
      </c>
    </row>
    <row r="22" spans="1:2">
      <c r="A22" s="1097" t="s">
        <v>538</v>
      </c>
      <c r="B22" s="1098" t="str">
        <f ca="1">'预评函-2'!D6</f>
        <v>肆仟伍佰壹拾壹万元整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4511</v>
      </c>
    </row>
    <row r="31" spans="1:2">
      <c r="A31" s="1097" t="s">
        <v>576</v>
      </c>
      <c r="B31" s="1098">
        <f ca="1">'预评函-2'!D15</f>
        <v>6786</v>
      </c>
    </row>
    <row r="32" spans="1:2">
      <c r="A32" s="1097" t="s">
        <v>543</v>
      </c>
      <c r="B32" s="1098" t="str">
        <f ca="1">'预评函-2'!D14</f>
        <v>肆仟伍佰壹拾壹万元整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6647.2</v>
      </c>
    </row>
    <row r="44" spans="1:2">
      <c r="A44" s="1097" t="s">
        <v>575</v>
      </c>
      <c r="B44" s="1098" t="str">
        <f>'预评函-3'!C2</f>
        <v>(分摊)土地面积</v>
      </c>
    </row>
    <row r="45" spans="1:2">
      <c r="A45" s="1097" t="s">
        <v>547</v>
      </c>
      <c r="B45" s="1098">
        <f>'预评函-3'!C4</f>
        <v>6544.93</v>
      </c>
    </row>
    <row r="46" spans="1:2">
      <c r="A46" s="1097" t="s">
        <v>573</v>
      </c>
      <c r="B46" s="1098" t="str">
        <f>'预评函-3'!D2</f>
        <v>出让国有建设用地使用权价值</v>
      </c>
    </row>
    <row r="47" spans="1:2">
      <c r="A47" s="1097" t="s">
        <v>548</v>
      </c>
      <c r="B47" s="1098">
        <f ca="1">'预评函-3'!D4</f>
        <v>1859</v>
      </c>
    </row>
    <row r="48" spans="1:2">
      <c r="A48" s="1097" t="s">
        <v>549</v>
      </c>
      <c r="B48" s="1098">
        <f ca="1">'预评函-3'!E4</f>
        <v>2796</v>
      </c>
    </row>
    <row r="49" spans="1:2">
      <c r="A49" s="1097" t="s">
        <v>550</v>
      </c>
      <c r="B49" s="1098" t="str">
        <f ca="1">'预评函-3'!D5</f>
        <v>壹仟捌佰伍拾玖万元整</v>
      </c>
    </row>
    <row r="50" spans="1:2">
      <c r="A50" s="1097" t="s">
        <v>574</v>
      </c>
      <c r="B50" s="1098" t="str">
        <f>'预评函-3'!F2</f>
        <v>在建建筑物价值</v>
      </c>
    </row>
    <row r="51" spans="1:2">
      <c r="A51" s="1097" t="s">
        <v>551</v>
      </c>
      <c r="B51" s="1098">
        <f ca="1">'预评函-3'!F4</f>
        <v>2652</v>
      </c>
    </row>
    <row r="52" spans="1:2">
      <c r="A52" s="1097" t="s">
        <v>552</v>
      </c>
      <c r="B52" s="1098">
        <f ca="1">'预评函-3'!G4</f>
        <v>3990</v>
      </c>
    </row>
    <row r="53" spans="1:2">
      <c r="A53" s="1097" t="s">
        <v>580</v>
      </c>
      <c r="B53" s="1098" t="str">
        <f ca="1">'预评函-3'!F5</f>
        <v>贰仟陆佰伍拾贰万元整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L18" sqref="L18"/>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3349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3335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3336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3337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3338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3339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3340</v>
      </c>
    </row>
    <row r="8" spans="1:23">
      <c r="A8" s="1419" t="s">
        <v>1026</v>
      </c>
      <c r="B8" s="1419" t="s">
        <v>1027</v>
      </c>
      <c r="C8" s="1420" t="s">
        <v>319</v>
      </c>
      <c r="F8" s="1421" t="s">
        <v>1028</v>
      </c>
      <c r="H8" s="1421" t="s">
        <v>2575</v>
      </c>
      <c r="I8" s="1421" t="s">
        <v>3341</v>
      </c>
    </row>
    <row r="9" spans="1:23">
      <c r="A9" s="1419" t="s">
        <v>1029</v>
      </c>
      <c r="B9" s="1419" t="s">
        <v>1030</v>
      </c>
      <c r="C9" s="1420" t="s">
        <v>320</v>
      </c>
      <c r="F9" s="1421" t="s">
        <v>1031</v>
      </c>
      <c r="H9" s="1421"/>
      <c r="I9" s="1423" t="s">
        <v>3342</v>
      </c>
    </row>
    <row r="10" spans="1:23">
      <c r="A10" s="1419" t="s">
        <v>1032</v>
      </c>
      <c r="B10" s="1419" t="s">
        <v>1033</v>
      </c>
      <c r="C10" s="1420" t="s">
        <v>321</v>
      </c>
      <c r="F10" s="1421" t="s">
        <v>2576</v>
      </c>
      <c r="I10" s="1423" t="s">
        <v>3343</v>
      </c>
    </row>
    <row r="11" spans="1:23">
      <c r="A11" s="1419" t="s">
        <v>1034</v>
      </c>
      <c r="B11" s="1419" t="s">
        <v>1035</v>
      </c>
      <c r="C11" s="1420" t="s">
        <v>322</v>
      </c>
      <c r="F11" s="1421" t="s">
        <v>13</v>
      </c>
      <c r="I11" s="1423" t="s">
        <v>3344</v>
      </c>
    </row>
    <row r="12" spans="1:23">
      <c r="A12" s="1419" t="s">
        <v>1036</v>
      </c>
      <c r="B12" s="1419" t="s">
        <v>1037</v>
      </c>
      <c r="C12" s="1420" t="s">
        <v>323</v>
      </c>
      <c r="I12" s="1423" t="s">
        <v>3345</v>
      </c>
    </row>
    <row r="13" spans="1:23">
      <c r="A13" s="1419" t="s">
        <v>1038</v>
      </c>
      <c r="B13" s="1419" t="s">
        <v>1039</v>
      </c>
      <c r="C13" s="1420" t="s">
        <v>324</v>
      </c>
      <c r="I13" s="1423" t="s">
        <v>3346</v>
      </c>
    </row>
    <row r="14" spans="1:23">
      <c r="A14" s="1419" t="s">
        <v>1040</v>
      </c>
      <c r="B14" s="1419" t="s">
        <v>1041</v>
      </c>
      <c r="C14" s="1421" t="s">
        <v>13</v>
      </c>
      <c r="I14" s="1423" t="s">
        <v>3347</v>
      </c>
    </row>
    <row r="15" spans="1:23">
      <c r="A15" s="1419" t="s">
        <v>1042</v>
      </c>
      <c r="B15" s="1419" t="s">
        <v>1043</v>
      </c>
      <c r="C15" s="1420"/>
      <c r="I15" s="1423" t="s">
        <v>3348</v>
      </c>
    </row>
    <row r="16" spans="1:23">
      <c r="A16" s="1419" t="s">
        <v>1044</v>
      </c>
      <c r="B16" s="1419" t="s">
        <v>312</v>
      </c>
      <c r="C16" s="1420"/>
    </row>
    <row r="17" spans="1:3">
      <c r="A17" s="1419" t="s">
        <v>1045</v>
      </c>
      <c r="B17" s="1419" t="s">
        <v>2293</v>
      </c>
      <c r="C17" s="1420"/>
    </row>
    <row r="18" spans="1:3">
      <c r="A18" s="1419" t="s">
        <v>1046</v>
      </c>
      <c r="B18" s="1419" t="s">
        <v>2431</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81"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1"/>
      <c r="B54" s="1425" t="s">
        <v>385</v>
      </c>
      <c r="C54" s="1423" t="s">
        <v>583</v>
      </c>
    </row>
    <row r="55" spans="1:4">
      <c r="A55" s="3181"/>
      <c r="B55" s="1425" t="s">
        <v>386</v>
      </c>
      <c r="C55" s="1423" t="s">
        <v>584</v>
      </c>
    </row>
    <row r="56" spans="1:4">
      <c r="A56" s="3181"/>
      <c r="B56" s="1425" t="s">
        <v>387</v>
      </c>
      <c r="C56" s="1423" t="s">
        <v>588</v>
      </c>
    </row>
    <row r="57" spans="1:4">
      <c r="A57" s="3181"/>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2498</v>
      </c>
      <c r="B1" s="2729"/>
      <c r="C1" s="2729"/>
      <c r="D1" s="2729"/>
      <c r="E1" s="2729"/>
      <c r="F1" s="2730"/>
      <c r="I1" s="3106" t="s">
        <v>2591</v>
      </c>
      <c r="J1" s="2755"/>
      <c r="K1" s="2755"/>
      <c r="L1" s="2755"/>
      <c r="M1" s="2755"/>
      <c r="N1" s="2940"/>
      <c r="O1" s="2940"/>
      <c r="P1" s="2940"/>
      <c r="Q1" s="2940"/>
      <c r="R1" s="2940"/>
    </row>
    <row r="2" spans="1:18">
      <c r="A2" s="2732"/>
      <c r="B2" s="2733"/>
      <c r="C2" s="2733"/>
      <c r="D2" s="2733"/>
      <c r="E2" s="2733"/>
      <c r="F2" s="2734"/>
      <c r="I2" s="3182" t="s">
        <v>2578</v>
      </c>
      <c r="J2" s="3182"/>
      <c r="K2" s="3182"/>
      <c r="L2" s="3182"/>
      <c r="M2" s="3182"/>
      <c r="N2" s="3182"/>
      <c r="O2" s="3182"/>
      <c r="P2" s="3182"/>
      <c r="Q2" s="3182"/>
      <c r="R2" s="3182"/>
    </row>
    <row r="3" spans="1:18">
      <c r="A3" s="2735" t="s">
        <v>2499</v>
      </c>
      <c r="B3" s="2736">
        <f>项目基本情况!D3</f>
        <v>45695</v>
      </c>
      <c r="C3" s="2738"/>
      <c r="D3" s="2738"/>
      <c r="E3" s="2738"/>
      <c r="F3" s="2734"/>
      <c r="I3" s="2750"/>
      <c r="J3" s="2750" t="s">
        <v>2582</v>
      </c>
      <c r="K3" s="2750" t="s">
        <v>2583</v>
      </c>
      <c r="L3" s="2750" t="s">
        <v>2584</v>
      </c>
      <c r="M3" s="2750" t="s">
        <v>2585</v>
      </c>
      <c r="N3" s="3107" t="s">
        <v>2586</v>
      </c>
      <c r="O3" s="3107" t="s">
        <v>2587</v>
      </c>
      <c r="P3" s="3107" t="s">
        <v>2588</v>
      </c>
      <c r="Q3" s="3107" t="s">
        <v>2589</v>
      </c>
      <c r="R3" s="3107" t="s">
        <v>2590</v>
      </c>
    </row>
    <row r="4" spans="1:18">
      <c r="A4" s="2735" t="s">
        <v>2500</v>
      </c>
      <c r="B4" s="2738" t="s">
        <v>2501</v>
      </c>
      <c r="C4" s="2738" t="s">
        <v>2502</v>
      </c>
      <c r="D4" s="2738" t="s">
        <v>2503</v>
      </c>
      <c r="E4" s="2738" t="s">
        <v>2504</v>
      </c>
      <c r="F4" s="2734"/>
      <c r="I4" s="2750" t="s">
        <v>2579</v>
      </c>
      <c r="J4" s="2750">
        <v>80</v>
      </c>
      <c r="K4" s="2750">
        <v>70</v>
      </c>
      <c r="L4" s="2750">
        <v>20</v>
      </c>
      <c r="M4" s="2750">
        <v>30</v>
      </c>
      <c r="N4" s="2738">
        <v>45</v>
      </c>
      <c r="O4" s="2738">
        <v>60</v>
      </c>
      <c r="P4" s="2738">
        <v>50</v>
      </c>
      <c r="Q4" s="2738">
        <v>20</v>
      </c>
      <c r="R4" s="2738">
        <v>375</v>
      </c>
    </row>
    <row r="5" spans="1:18">
      <c r="A5" s="2739">
        <v>40</v>
      </c>
      <c r="B5" s="2736">
        <v>46375</v>
      </c>
      <c r="C5" s="2738">
        <f>ROUNDDOWN(MIN((B5-B3)/365,A5),2)</f>
        <v>1.86</v>
      </c>
      <c r="D5" s="2740">
        <f>IF(ISERROR(ROUND(POWER(1+E5,A5-C5)*(POWER(1+E5,C5)-1)/(POWER(1+E5,A5)-1),3)),0,ROUND(POWER(1+E5,A5-C5)*(POWER(1+E5,C5)-1)/(POWER(1+E5,A5)-1),4))</f>
        <v>8.8900000000000007E-2</v>
      </c>
      <c r="E5" s="2741">
        <v>0.04</v>
      </c>
      <c r="F5" s="2734"/>
      <c r="I5" s="2750" t="s">
        <v>2580</v>
      </c>
      <c r="J5" s="2750">
        <v>70</v>
      </c>
      <c r="K5" s="2750">
        <v>60</v>
      </c>
      <c r="L5" s="2750">
        <v>15</v>
      </c>
      <c r="M5" s="2750">
        <v>25</v>
      </c>
      <c r="N5" s="2738">
        <v>40</v>
      </c>
      <c r="O5" s="2738">
        <v>50</v>
      </c>
      <c r="P5" s="2738">
        <v>40</v>
      </c>
      <c r="Q5" s="2738">
        <v>15</v>
      </c>
      <c r="R5" s="2738">
        <v>315</v>
      </c>
    </row>
    <row r="6" spans="1:18">
      <c r="A6" s="2739">
        <v>50</v>
      </c>
      <c r="B6" s="2736">
        <v>50028</v>
      </c>
      <c r="C6" s="2738">
        <f>ROUNDDOWN(MIN((B6-B3)/365,A6),2)</f>
        <v>11.87</v>
      </c>
      <c r="D6" s="2740">
        <f>IF(ISERROR(ROUND(POWER(1+E6,A6-C6)*(POWER(1+E6,C6)-1)/(POWER(1+E6,A6)-1),3)),0,ROUND(POWER(1+E6,A6-C6)*(POWER(1+E6,C6)-1)/(POWER(1+E6,A6)-1),4))</f>
        <v>0.43319999999999997</v>
      </c>
      <c r="E6" s="2741">
        <v>0.04</v>
      </c>
      <c r="F6" s="2734"/>
      <c r="I6" s="2750" t="s">
        <v>2581</v>
      </c>
      <c r="J6" s="2750">
        <v>60</v>
      </c>
      <c r="K6" s="2750">
        <v>50</v>
      </c>
      <c r="L6" s="2750">
        <v>10</v>
      </c>
      <c r="M6" s="2750">
        <v>20</v>
      </c>
      <c r="N6" s="2738">
        <v>35</v>
      </c>
      <c r="O6" s="2738">
        <v>40</v>
      </c>
      <c r="P6" s="2738">
        <v>30</v>
      </c>
      <c r="Q6" s="2738">
        <v>10</v>
      </c>
      <c r="R6" s="2738">
        <v>255</v>
      </c>
    </row>
    <row r="7" spans="1:18">
      <c r="A7" s="2739">
        <v>70</v>
      </c>
      <c r="B7" s="2736">
        <v>57333</v>
      </c>
      <c r="C7" s="2738">
        <f>ROUNDDOWN(MIN((B7-B3)/365,A7),2)</f>
        <v>31.88</v>
      </c>
      <c r="D7" s="2740">
        <f>IF(ISERROR(ROUND(POWER(1+E7,A7-C7)*(POWER(1+E7,C7)-1)/(POWER(1+E7,A7)-1),3)),0,ROUND(POWER(1+E7,A7-C7)*(POWER(1+E7,C7)-1)/(POWER(1+E7,A7)-1),4))</f>
        <v>0.76259999999999994</v>
      </c>
      <c r="E7" s="2741">
        <v>0.04</v>
      </c>
      <c r="F7" s="2734"/>
    </row>
    <row r="8" spans="1:18">
      <c r="A8" s="2732"/>
      <c r="B8" s="2733"/>
      <c r="C8" s="2733"/>
      <c r="D8" s="2733"/>
      <c r="E8" s="2733"/>
      <c r="F8" s="2734"/>
    </row>
    <row r="9" spans="1:18">
      <c r="A9" s="2735" t="s">
        <v>2505</v>
      </c>
      <c r="B9" s="2738"/>
      <c r="C9" s="2738"/>
      <c r="D9" s="2738"/>
      <c r="E9" s="2738"/>
      <c r="F9" s="2742"/>
    </row>
    <row r="10" spans="1:18">
      <c r="A10" s="2735" t="s">
        <v>2506</v>
      </c>
      <c r="B10" s="2738"/>
      <c r="C10" s="2738"/>
      <c r="D10" s="2738" t="s">
        <v>2504</v>
      </c>
      <c r="E10" s="2738"/>
      <c r="F10" s="2742" t="s">
        <v>2503</v>
      </c>
    </row>
    <row r="11" spans="1:18">
      <c r="A11" s="2735" t="s">
        <v>2507</v>
      </c>
      <c r="B11" s="2743">
        <v>70</v>
      </c>
      <c r="C11" s="2738" t="s">
        <v>2508</v>
      </c>
      <c r="D11" s="2743">
        <v>4.4999999999999998E-2</v>
      </c>
      <c r="E11" s="2738" t="s">
        <v>2509</v>
      </c>
      <c r="F11" s="2744">
        <f>ROUND(1-(1/(POWER(1+D11,B11))),4)</f>
        <v>0.95409999999999995</v>
      </c>
    </row>
    <row r="12" spans="1:18">
      <c r="A12" s="2735" t="s">
        <v>2510</v>
      </c>
      <c r="B12" s="2743">
        <v>40</v>
      </c>
      <c r="C12" s="2738" t="s">
        <v>2511</v>
      </c>
      <c r="D12" s="2743">
        <v>4.4999999999999998E-2</v>
      </c>
      <c r="E12" s="2738" t="s">
        <v>2512</v>
      </c>
      <c r="F12" s="2744">
        <f>ROUND(1-(1/(POWER(1+D12,B12))),4)</f>
        <v>0.82809999999999995</v>
      </c>
    </row>
    <row r="13" spans="1:18">
      <c r="A13" s="2735" t="s">
        <v>2513</v>
      </c>
      <c r="B13" s="2738"/>
      <c r="C13" s="2738"/>
      <c r="D13" s="2733"/>
      <c r="E13" s="2733"/>
      <c r="F13" s="2734"/>
    </row>
    <row r="14" spans="1:18">
      <c r="A14" s="2735" t="s">
        <v>2514</v>
      </c>
      <c r="B14" s="2743">
        <v>5000</v>
      </c>
      <c r="C14" s="2737"/>
      <c r="D14" s="2733"/>
      <c r="E14" s="2733"/>
      <c r="F14" s="2734"/>
    </row>
    <row r="15" spans="1:18">
      <c r="A15" s="2735" t="s">
        <v>2515</v>
      </c>
      <c r="B15" s="2738">
        <f>ROUND(B14*F12/F11,2)</f>
        <v>4339.6899999999996</v>
      </c>
      <c r="C15" s="2738">
        <f>ROUND(F12/F11,4)</f>
        <v>0.8679</v>
      </c>
      <c r="D15" s="2733"/>
      <c r="E15" s="2733"/>
      <c r="F15" s="2734"/>
    </row>
    <row r="16" spans="1:18">
      <c r="A16" s="2735" t="s">
        <v>2516</v>
      </c>
      <c r="B16" s="2738"/>
      <c r="C16" s="2738"/>
      <c r="D16" s="2733"/>
      <c r="E16" s="2733"/>
      <c r="F16" s="2734"/>
    </row>
    <row r="17" spans="1:13">
      <c r="A17" s="2735" t="s">
        <v>2515</v>
      </c>
      <c r="B17" s="2743">
        <v>4810</v>
      </c>
      <c r="C17" s="2737"/>
      <c r="D17" s="2733"/>
      <c r="E17" s="2733"/>
      <c r="F17" s="2734"/>
    </row>
    <row r="18" spans="1:13" ht="14.25" thickBot="1">
      <c r="A18" s="2745" t="s">
        <v>2514</v>
      </c>
      <c r="B18" s="2746">
        <f>ROUND(B17*F11/F12,2)</f>
        <v>5541.87</v>
      </c>
      <c r="C18" s="2746">
        <f>ROUND(F11/F12,4)</f>
        <v>1.1521999999999999</v>
      </c>
      <c r="D18" s="2747"/>
      <c r="E18" s="2747"/>
      <c r="F18" s="2748"/>
    </row>
    <row r="19" spans="1:13" ht="14.25" thickBot="1"/>
    <row r="20" spans="1:13" s="2781" customFormat="1" ht="14.25" thickTop="1">
      <c r="A20" s="2778" t="s">
        <v>2517</v>
      </c>
      <c r="B20" s="2779"/>
      <c r="C20" s="2779"/>
      <c r="D20" s="2779"/>
      <c r="E20" s="2779"/>
      <c r="F20" s="2779"/>
      <c r="G20" s="2780"/>
      <c r="I20" s="2782" t="s">
        <v>2562</v>
      </c>
      <c r="J20" s="2782" t="s">
        <v>2567</v>
      </c>
      <c r="K20" s="2782"/>
      <c r="L20" s="2782"/>
      <c r="M20" s="2782"/>
    </row>
    <row r="21" spans="1:13">
      <c r="A21" s="2749"/>
      <c r="B21" s="2750" t="s">
        <v>2518</v>
      </c>
      <c r="C21" s="2750" t="s">
        <v>2519</v>
      </c>
      <c r="D21" s="2750" t="s">
        <v>2520</v>
      </c>
      <c r="E21" s="2750" t="s">
        <v>2521</v>
      </c>
      <c r="F21" s="2750" t="s">
        <v>2522</v>
      </c>
      <c r="G21" s="2751" t="s">
        <v>2523</v>
      </c>
      <c r="I21" s="2772">
        <v>5</v>
      </c>
      <c r="J21" s="2772">
        <v>54.2</v>
      </c>
    </row>
    <row r="22" spans="1:13">
      <c r="A22" s="2749" t="s">
        <v>2524</v>
      </c>
      <c r="B22" s="2752">
        <v>70</v>
      </c>
      <c r="C22" s="2752">
        <v>30</v>
      </c>
      <c r="D22" s="2753">
        <v>0.04</v>
      </c>
      <c r="E22" s="2750">
        <f>ROUND(POWER(1+D22,B22-C22)*(POWER(1+D22,C22)-1)/(POWER(1+D22,B22)-1),3)</f>
        <v>0.73899999999999999</v>
      </c>
      <c r="F22" s="2753">
        <v>0.7</v>
      </c>
      <c r="G22" s="2751">
        <f>ROUND(100*(1-(1-E22)*F22),1)</f>
        <v>81.7</v>
      </c>
      <c r="I22" s="2772">
        <v>10</v>
      </c>
      <c r="J22" s="2772">
        <v>65.400000000000006</v>
      </c>
      <c r="K22" s="2772">
        <f>J22-J21</f>
        <v>11.200000000000003</v>
      </c>
    </row>
    <row r="23" spans="1:13">
      <c r="A23" s="2749" t="s">
        <v>2525</v>
      </c>
      <c r="B23" s="2752">
        <v>70</v>
      </c>
      <c r="C23" s="2752">
        <v>40</v>
      </c>
      <c r="D23" s="2753">
        <v>0.04</v>
      </c>
      <c r="E23" s="2750">
        <f t="shared" ref="E23:E25" si="0">ROUND(POWER(1+D23,B23-C23)*(POWER(1+D23,C23)-1)/(POWER(1+D23,B23)-1),3)</f>
        <v>0.84599999999999997</v>
      </c>
      <c r="F23" s="2753">
        <f>F22</f>
        <v>0.7</v>
      </c>
      <c r="G23" s="2751">
        <f t="shared" ref="G23:G25" si="1">ROUND(100*(1-(1-E23)*F23),1)</f>
        <v>89.2</v>
      </c>
      <c r="I23" s="2772">
        <v>15</v>
      </c>
      <c r="J23" s="2772">
        <v>74.099999999999994</v>
      </c>
      <c r="K23" s="2772">
        <f t="shared" ref="K23:K30" si="2">J23-J22</f>
        <v>8.6999999999999886</v>
      </c>
      <c r="L23" s="2772" t="s">
        <v>2565</v>
      </c>
      <c r="M23" s="2772" t="s">
        <v>2566</v>
      </c>
    </row>
    <row r="24" spans="1:13">
      <c r="A24" s="2749" t="s">
        <v>2526</v>
      </c>
      <c r="B24" s="2752">
        <v>70</v>
      </c>
      <c r="C24" s="2752">
        <v>50</v>
      </c>
      <c r="D24" s="2753">
        <v>0.04</v>
      </c>
      <c r="E24" s="2750">
        <f t="shared" si="0"/>
        <v>0.91800000000000004</v>
      </c>
      <c r="F24" s="2753">
        <f>F23</f>
        <v>0.7</v>
      </c>
      <c r="G24" s="2751">
        <f t="shared" si="1"/>
        <v>94.3</v>
      </c>
      <c r="I24" s="2772">
        <v>20</v>
      </c>
      <c r="J24" s="2772">
        <v>81</v>
      </c>
      <c r="K24" s="2772">
        <f t="shared" si="2"/>
        <v>6.9000000000000057</v>
      </c>
      <c r="L24" s="2772" t="s">
        <v>2564</v>
      </c>
      <c r="M24" s="2772">
        <v>10</v>
      </c>
    </row>
    <row r="25" spans="1:13">
      <c r="A25" s="2749" t="s">
        <v>2527</v>
      </c>
      <c r="B25" s="2752">
        <v>70</v>
      </c>
      <c r="C25" s="2752">
        <v>60</v>
      </c>
      <c r="D25" s="2753">
        <v>0.04</v>
      </c>
      <c r="E25" s="2750">
        <f t="shared" si="0"/>
        <v>0.96699999999999997</v>
      </c>
      <c r="F25" s="2753">
        <f>F24</f>
        <v>0.7</v>
      </c>
      <c r="G25" s="2751">
        <f t="shared" si="1"/>
        <v>97.7</v>
      </c>
      <c r="I25" s="2772">
        <v>25</v>
      </c>
      <c r="J25" s="2772">
        <v>86.3</v>
      </c>
      <c r="K25" s="2772">
        <f t="shared" si="2"/>
        <v>5.2999999999999972</v>
      </c>
      <c r="L25" s="2772" t="s">
        <v>2568</v>
      </c>
      <c r="M25" s="2772">
        <v>8</v>
      </c>
    </row>
    <row r="26" spans="1:13">
      <c r="A26" s="2754"/>
      <c r="B26" s="2755"/>
      <c r="C26" s="2755"/>
      <c r="D26" s="2755"/>
      <c r="E26" s="2755"/>
      <c r="F26" s="2755"/>
      <c r="G26" s="2756"/>
      <c r="I26" s="2772">
        <v>30</v>
      </c>
      <c r="J26" s="2772">
        <v>90.5</v>
      </c>
      <c r="K26" s="2772">
        <f t="shared" si="2"/>
        <v>4.2000000000000028</v>
      </c>
      <c r="L26" s="2772" t="s">
        <v>2569</v>
      </c>
      <c r="M26" s="2772">
        <v>5</v>
      </c>
    </row>
    <row r="27" spans="1:13">
      <c r="A27" s="2754" t="s">
        <v>2528</v>
      </c>
      <c r="B27" s="2755"/>
      <c r="C27" s="2755"/>
      <c r="D27" s="2755"/>
      <c r="E27" s="2755"/>
      <c r="F27" s="2755"/>
      <c r="G27" s="2756"/>
      <c r="I27" s="2772">
        <v>35</v>
      </c>
      <c r="J27" s="2772">
        <v>93.8</v>
      </c>
      <c r="K27" s="2772">
        <f t="shared" si="2"/>
        <v>3.2999999999999972</v>
      </c>
      <c r="L27" s="2772" t="s">
        <v>2570</v>
      </c>
      <c r="M27" s="2772">
        <v>3</v>
      </c>
    </row>
    <row r="28" spans="1:13">
      <c r="A28" s="2754" t="s">
        <v>2529</v>
      </c>
      <c r="B28" s="2755"/>
      <c r="C28" s="2755"/>
      <c r="D28" s="2755"/>
      <c r="E28" s="2755"/>
      <c r="F28" s="2755"/>
      <c r="G28" s="2756"/>
      <c r="I28" s="2772">
        <v>40</v>
      </c>
      <c r="J28" s="2772">
        <v>96.4</v>
      </c>
      <c r="K28" s="2772">
        <f t="shared" si="2"/>
        <v>2.6000000000000085</v>
      </c>
      <c r="L28" s="2772" t="s">
        <v>2571</v>
      </c>
      <c r="M28" s="2772">
        <v>2</v>
      </c>
    </row>
    <row r="29" spans="1:13">
      <c r="A29" s="2754" t="s">
        <v>2530</v>
      </c>
      <c r="B29" s="2755"/>
      <c r="C29" s="2755"/>
      <c r="D29" s="2755"/>
      <c r="E29" s="2755"/>
      <c r="F29" s="2755"/>
      <c r="G29" s="2756"/>
      <c r="I29" s="2772">
        <v>45</v>
      </c>
      <c r="J29" s="2772">
        <v>98.4</v>
      </c>
      <c r="K29" s="2772">
        <f t="shared" si="2"/>
        <v>2</v>
      </c>
    </row>
    <row r="30" spans="1:13">
      <c r="A30" s="2754" t="s">
        <v>2531</v>
      </c>
      <c r="B30" s="2755"/>
      <c r="C30" s="2755"/>
      <c r="D30" s="2755"/>
      <c r="E30" s="2755"/>
      <c r="F30" s="2755"/>
      <c r="G30" s="2756"/>
      <c r="I30" s="2772">
        <v>50</v>
      </c>
      <c r="J30" s="2772">
        <v>100</v>
      </c>
      <c r="K30" s="2772">
        <f t="shared" si="2"/>
        <v>1.5999999999999943</v>
      </c>
    </row>
    <row r="31" spans="1:13">
      <c r="A31" s="2754" t="s">
        <v>2532</v>
      </c>
      <c r="B31" s="2755"/>
      <c r="C31" s="2755"/>
      <c r="D31" s="2755"/>
      <c r="E31" s="2755"/>
      <c r="F31" s="2755"/>
      <c r="G31" s="2756"/>
      <c r="I31" s="2772" t="s">
        <v>2563</v>
      </c>
    </row>
    <row r="32" spans="1:13">
      <c r="A32" s="2754" t="s">
        <v>2533</v>
      </c>
      <c r="B32" s="2755"/>
      <c r="C32" s="2755"/>
      <c r="D32" s="2755"/>
      <c r="E32" s="2755"/>
      <c r="F32" s="2755"/>
      <c r="G32" s="2756"/>
    </row>
    <row r="33" spans="1:13">
      <c r="A33" s="2754" t="s">
        <v>2534</v>
      </c>
      <c r="B33" s="2755"/>
      <c r="C33" s="2755"/>
      <c r="D33" s="2755"/>
      <c r="E33" s="2755"/>
      <c r="F33" s="2755"/>
      <c r="G33" s="2756"/>
      <c r="I33" s="2772" t="s">
        <v>2562</v>
      </c>
      <c r="J33" s="2772" t="s">
        <v>2572</v>
      </c>
    </row>
    <row r="34" spans="1:13">
      <c r="A34" s="2754" t="s">
        <v>2535</v>
      </c>
      <c r="B34" s="2755"/>
      <c r="C34" s="2755"/>
      <c r="D34" s="2755"/>
      <c r="E34" s="2755"/>
      <c r="F34" s="2755"/>
      <c r="G34" s="2756"/>
      <c r="I34" s="2772">
        <v>5</v>
      </c>
      <c r="J34" s="2772">
        <v>55.1</v>
      </c>
    </row>
    <row r="35" spans="1:13">
      <c r="A35" s="2754" t="s">
        <v>2536</v>
      </c>
      <c r="B35" s="2755"/>
      <c r="C35" s="2755"/>
      <c r="D35" s="2755"/>
      <c r="E35" s="2755"/>
      <c r="F35" s="2755"/>
      <c r="G35" s="2756"/>
      <c r="I35" s="2772">
        <v>10</v>
      </c>
      <c r="J35" s="2772">
        <v>67</v>
      </c>
      <c r="K35" s="2772">
        <f>J35-J34</f>
        <v>11.899999999999999</v>
      </c>
    </row>
    <row r="36" spans="1:13">
      <c r="A36" s="2754" t="s">
        <v>2537</v>
      </c>
      <c r="B36" s="2755"/>
      <c r="C36" s="2755"/>
      <c r="D36" s="2755"/>
      <c r="E36" s="2755"/>
      <c r="F36" s="2755"/>
      <c r="G36" s="2756"/>
      <c r="I36" s="2772">
        <v>15</v>
      </c>
      <c r="J36" s="2772">
        <v>76.3</v>
      </c>
      <c r="K36" s="2772">
        <f t="shared" ref="K36:K41" si="3">J36-J35</f>
        <v>9.2999999999999972</v>
      </c>
      <c r="L36" s="2772" t="s">
        <v>2565</v>
      </c>
      <c r="M36" s="2772" t="s">
        <v>2566</v>
      </c>
    </row>
    <row r="37" spans="1:13">
      <c r="A37" s="2754" t="s">
        <v>2538</v>
      </c>
      <c r="B37" s="2755"/>
      <c r="C37" s="2755"/>
      <c r="D37" s="2755"/>
      <c r="E37" s="2755"/>
      <c r="F37" s="2755"/>
      <c r="G37" s="2756"/>
      <c r="I37" s="2772">
        <v>20</v>
      </c>
      <c r="J37" s="2772">
        <v>83.6</v>
      </c>
      <c r="K37" s="2772">
        <f t="shared" si="3"/>
        <v>7.2999999999999972</v>
      </c>
      <c r="L37" s="2772" t="s">
        <v>2564</v>
      </c>
      <c r="M37" s="2772">
        <v>10</v>
      </c>
    </row>
    <row r="38" spans="1:13">
      <c r="A38" s="2754" t="s">
        <v>2539</v>
      </c>
      <c r="B38" s="2755"/>
      <c r="C38" s="2755"/>
      <c r="D38" s="2755"/>
      <c r="E38" s="2755"/>
      <c r="F38" s="2755"/>
      <c r="G38" s="2756"/>
      <c r="I38" s="2772">
        <v>25</v>
      </c>
      <c r="J38" s="2772">
        <v>89.3</v>
      </c>
      <c r="K38" s="2772">
        <f t="shared" si="3"/>
        <v>5.7000000000000028</v>
      </c>
      <c r="L38" s="2772" t="s">
        <v>2568</v>
      </c>
      <c r="M38" s="2772">
        <v>8</v>
      </c>
    </row>
    <row r="39" spans="1:13">
      <c r="A39" s="2754"/>
      <c r="B39" s="2755"/>
      <c r="C39" s="2755"/>
      <c r="D39" s="2755"/>
      <c r="E39" s="2755"/>
      <c r="F39" s="2755"/>
      <c r="G39" s="2756"/>
      <c r="I39" s="2772">
        <v>30</v>
      </c>
      <c r="J39" s="2772">
        <v>93.8</v>
      </c>
      <c r="K39" s="2772">
        <f t="shared" si="3"/>
        <v>4.5</v>
      </c>
      <c r="L39" s="2772" t="s">
        <v>2569</v>
      </c>
      <c r="M39" s="2772">
        <v>6</v>
      </c>
    </row>
    <row r="40" spans="1:13">
      <c r="A40" s="2757" t="s">
        <v>2540</v>
      </c>
      <c r="B40" s="2758"/>
      <c r="C40" s="2758"/>
      <c r="D40" s="2758"/>
      <c r="E40" s="2758"/>
      <c r="F40" s="2758"/>
      <c r="G40" s="2759"/>
      <c r="I40" s="2772">
        <v>35</v>
      </c>
      <c r="J40" s="2772">
        <v>97.2</v>
      </c>
      <c r="K40" s="2772">
        <f t="shared" si="3"/>
        <v>3.4000000000000057</v>
      </c>
      <c r="L40" s="2772" t="s">
        <v>2570</v>
      </c>
      <c r="M40" s="2772">
        <v>3</v>
      </c>
    </row>
    <row r="41" spans="1:13">
      <c r="A41" s="2760" t="s">
        <v>2541</v>
      </c>
      <c r="B41" s="2761" t="s">
        <v>2542</v>
      </c>
      <c r="C41" s="2762" t="s">
        <v>2543</v>
      </c>
      <c r="D41" s="2762" t="s">
        <v>2544</v>
      </c>
      <c r="E41" s="2763"/>
      <c r="F41" s="2764"/>
      <c r="G41" s="2765"/>
      <c r="I41" s="2772">
        <v>40</v>
      </c>
      <c r="J41" s="2772">
        <v>100</v>
      </c>
      <c r="K41" s="2772">
        <f t="shared" si="3"/>
        <v>2.7999999999999972</v>
      </c>
    </row>
    <row r="42" spans="1:13">
      <c r="A42" s="2760" t="s">
        <v>2545</v>
      </c>
      <c r="B42" s="2761" t="s">
        <v>2546</v>
      </c>
      <c r="C42" s="2762" t="s">
        <v>2547</v>
      </c>
      <c r="D42" s="2766" t="s">
        <v>2548</v>
      </c>
      <c r="E42" s="2758" t="s">
        <v>2549</v>
      </c>
      <c r="F42" s="2758"/>
      <c r="G42" s="2759"/>
    </row>
    <row r="43" spans="1:13">
      <c r="A43" s="2760" t="s">
        <v>2550</v>
      </c>
      <c r="B43" s="2761" t="s">
        <v>2551</v>
      </c>
      <c r="C43" s="2762" t="s">
        <v>2552</v>
      </c>
      <c r="D43" s="2762" t="s">
        <v>2553</v>
      </c>
      <c r="E43" s="2763" t="s">
        <v>2554</v>
      </c>
      <c r="F43" s="2764"/>
      <c r="G43" s="2765"/>
      <c r="I43" s="2772" t="s">
        <v>2562</v>
      </c>
      <c r="J43" s="2772" t="s">
        <v>2573</v>
      </c>
    </row>
    <row r="44" spans="1:13">
      <c r="A44" s="2760" t="s">
        <v>2555</v>
      </c>
      <c r="B44" s="2761" t="s">
        <v>2556</v>
      </c>
      <c r="C44" s="2762" t="s">
        <v>2557</v>
      </c>
      <c r="D44" s="2766">
        <v>0.5</v>
      </c>
      <c r="E44" s="2763" t="s">
        <v>2558</v>
      </c>
      <c r="F44" s="2764"/>
      <c r="G44" s="2765"/>
      <c r="I44" s="2772">
        <v>30</v>
      </c>
      <c r="J44" s="2772">
        <v>81.7</v>
      </c>
    </row>
    <row r="45" spans="1:13" ht="14.25" thickBot="1">
      <c r="A45" s="2767" t="s">
        <v>2559</v>
      </c>
      <c r="B45" s="2768" t="s">
        <v>2546</v>
      </c>
      <c r="C45" s="2769" t="s">
        <v>2546</v>
      </c>
      <c r="D45" s="2769" t="s">
        <v>2560</v>
      </c>
      <c r="E45" s="2770" t="s">
        <v>2561</v>
      </c>
      <c r="F45" s="2770"/>
      <c r="G45" s="2771"/>
      <c r="I45" s="2772">
        <v>40</v>
      </c>
      <c r="J45" s="2772">
        <v>89.2</v>
      </c>
      <c r="K45" s="2772">
        <f>J45-J44</f>
        <v>7.5</v>
      </c>
    </row>
    <row r="46" spans="1:13">
      <c r="I46" s="2772">
        <v>50</v>
      </c>
      <c r="J46" s="2772">
        <v>94.3</v>
      </c>
      <c r="K46" s="2772">
        <f t="shared" ref="K46:K47" si="4">J46-J45</f>
        <v>5.0999999999999943</v>
      </c>
    </row>
    <row r="47" spans="1:13">
      <c r="I47" s="2772">
        <v>60</v>
      </c>
      <c r="J47" s="2772">
        <v>97.7</v>
      </c>
      <c r="K47" s="27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2168</v>
      </c>
      <c r="B1" s="3190" t="str">
        <f>IF(B10="北京市","北京市",C10)&amp;F10&amp;IF(结果表!G1="在建","出让国有建设用地使用权及在建建筑物",IF(结果表!G1="土地","出让国有建设用地使用权",))&amp;B9&amp;"预评估"</f>
        <v>北京市房地产抵押价值预评估</v>
      </c>
      <c r="C1" s="3191"/>
      <c r="D1" s="3191"/>
      <c r="E1" s="3191"/>
      <c r="F1" s="3191"/>
      <c r="G1" s="3191"/>
      <c r="H1" s="3191"/>
      <c r="I1" s="3192"/>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2169</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2170</v>
      </c>
      <c r="B3" s="2162">
        <v>45695</v>
      </c>
      <c r="C3" s="2163" t="s">
        <v>2171</v>
      </c>
      <c r="D3" s="2162">
        <v>45695</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2172</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2173</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2174</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2175</v>
      </c>
      <c r="B7" s="2175"/>
      <c r="C7" s="2173"/>
      <c r="D7" s="2174"/>
      <c r="E7" s="2417"/>
      <c r="F7" s="2418"/>
      <c r="G7" s="2418"/>
      <c r="H7" s="2418"/>
      <c r="I7" s="2418"/>
      <c r="J7" s="2222"/>
      <c r="K7" s="2379"/>
      <c r="L7" s="2376"/>
      <c r="M7" s="2376"/>
      <c r="N7" s="2222"/>
      <c r="O7" s="1647"/>
      <c r="P7" s="2222"/>
      <c r="Q7" s="2222"/>
      <c r="R7" s="2222"/>
    </row>
    <row r="8" spans="1:30">
      <c r="A8" s="2176" t="s">
        <v>2176</v>
      </c>
      <c r="B8" s="2177" t="s">
        <v>3384</v>
      </c>
      <c r="C8" s="2178"/>
      <c r="D8" s="3193" t="s">
        <v>2177</v>
      </c>
      <c r="E8" s="2179" t="s">
        <v>3385</v>
      </c>
      <c r="F8" s="2180"/>
      <c r="G8" s="2418"/>
      <c r="H8" s="2418"/>
      <c r="I8" s="2418"/>
      <c r="J8" s="2222"/>
      <c r="K8" s="2377"/>
      <c r="L8" s="2376"/>
      <c r="M8" s="2376"/>
      <c r="N8" s="2222"/>
      <c r="O8" s="1647"/>
      <c r="P8" s="2222"/>
      <c r="Q8" s="2222"/>
      <c r="R8" s="2222"/>
    </row>
    <row r="9" spans="1:30" ht="13.5" thickBot="1">
      <c r="A9" s="2181" t="s">
        <v>2178</v>
      </c>
      <c r="B9" s="2182" t="s">
        <v>3385</v>
      </c>
      <c r="C9" s="2183"/>
      <c r="D9" s="3194"/>
      <c r="E9" s="2182" t="s">
        <v>43</v>
      </c>
      <c r="F9" s="2184"/>
      <c r="G9" s="2419"/>
      <c r="H9" s="2419"/>
      <c r="I9" s="2419"/>
      <c r="J9" s="2222"/>
      <c r="K9" s="2379"/>
      <c r="L9" s="2376"/>
      <c r="M9" s="2376"/>
      <c r="N9" s="2222"/>
      <c r="O9" s="1647"/>
      <c r="P9" s="2222"/>
      <c r="Q9" s="2222"/>
      <c r="R9" s="2222"/>
    </row>
    <row r="10" spans="1:30" ht="13.5" thickTop="1">
      <c r="A10" s="2185" t="s">
        <v>2179</v>
      </c>
      <c r="B10" s="2186" t="s">
        <v>3386</v>
      </c>
      <c r="C10" s="2187"/>
      <c r="D10" s="2170"/>
      <c r="E10" s="2188" t="s">
        <v>2180</v>
      </c>
      <c r="F10" s="2420"/>
      <c r="G10" s="2421"/>
      <c r="H10" s="2422"/>
      <c r="I10" s="2423"/>
      <c r="J10" s="2222"/>
      <c r="K10" s="2379"/>
      <c r="L10" s="2376"/>
      <c r="M10" s="2376"/>
      <c r="N10" s="2222"/>
      <c r="O10" s="1647"/>
      <c r="P10" s="2222"/>
      <c r="Q10" s="2222"/>
      <c r="R10" s="2222"/>
    </row>
    <row r="11" spans="1:30">
      <c r="A11" s="2189" t="s">
        <v>2181</v>
      </c>
      <c r="B11" s="2190" t="s">
        <v>3387</v>
      </c>
      <c r="C11" s="2191"/>
      <c r="D11" s="2192"/>
      <c r="E11" s="2159"/>
      <c r="F11" s="2159"/>
      <c r="G11" s="2159"/>
      <c r="H11" s="2159"/>
      <c r="I11" s="2159"/>
      <c r="J11" s="2774"/>
      <c r="K11" s="2376"/>
      <c r="L11" s="2376"/>
      <c r="M11" s="2376"/>
      <c r="N11" s="2222"/>
      <c r="O11" s="1647"/>
      <c r="P11" s="2222"/>
      <c r="Q11" s="2222"/>
      <c r="R11" s="2222"/>
    </row>
    <row r="12" spans="1:30">
      <c r="A12" s="2193" t="s">
        <v>2182</v>
      </c>
      <c r="B12" s="308" t="s">
        <v>2183</v>
      </c>
      <c r="C12" s="2194" t="s">
        <v>2184</v>
      </c>
      <c r="D12" s="2194" t="s">
        <v>2185</v>
      </c>
      <c r="E12" s="2194" t="s">
        <v>2186</v>
      </c>
      <c r="F12" s="2194" t="s">
        <v>2187</v>
      </c>
      <c r="G12" s="2194" t="s">
        <v>2188</v>
      </c>
      <c r="H12" s="2194" t="s">
        <v>2189</v>
      </c>
      <c r="I12" s="2773" t="s">
        <v>2574</v>
      </c>
      <c r="J12" s="2775"/>
      <c r="K12" s="2376"/>
      <c r="L12" s="2376"/>
      <c r="M12" s="2222"/>
      <c r="N12" s="1647"/>
      <c r="O12" s="2222"/>
      <c r="P12" s="2222"/>
      <c r="Q12" s="2222"/>
      <c r="AD12" s="1595"/>
    </row>
    <row r="13" spans="1:30">
      <c r="A13" s="3094" t="s">
        <v>3330</v>
      </c>
      <c r="B13" s="2195" t="s">
        <v>2190</v>
      </c>
      <c r="C13" s="785"/>
      <c r="D13" s="785"/>
      <c r="E13" s="785"/>
      <c r="F13" s="785"/>
      <c r="G13" s="785"/>
      <c r="H13" s="785">
        <v>57495</v>
      </c>
      <c r="I13" s="785"/>
      <c r="J13" s="2775"/>
      <c r="K13" s="2376"/>
      <c r="L13" s="2376"/>
      <c r="M13" s="2222"/>
      <c r="N13" s="1647"/>
      <c r="O13" s="2222"/>
      <c r="P13" s="2222"/>
      <c r="Q13" s="2222"/>
      <c r="AD13" s="1595"/>
    </row>
    <row r="14" spans="1:30">
      <c r="A14" s="996"/>
      <c r="B14" s="2195" t="s">
        <v>2191</v>
      </c>
      <c r="C14" s="2196"/>
      <c r="D14" s="2196"/>
      <c r="E14" s="2196"/>
      <c r="F14" s="2196"/>
      <c r="G14" s="2196"/>
      <c r="H14" s="2196">
        <v>50</v>
      </c>
      <c r="I14" s="2196"/>
      <c r="J14" s="2776"/>
      <c r="K14" s="2376"/>
      <c r="L14" s="2376"/>
      <c r="M14" s="2222"/>
      <c r="N14" s="1647"/>
      <c r="O14" s="2222"/>
      <c r="P14" s="2222"/>
      <c r="Q14" s="2222"/>
      <c r="AD14" s="1595"/>
    </row>
    <row r="15" spans="1:30">
      <c r="A15" s="305"/>
      <c r="B15" s="2197" t="s">
        <v>2192</v>
      </c>
      <c r="C15" s="2198" t="str">
        <f>IF(A13="出让",IF(C13="","",ROUNDDOWN(MIN((C13-$D$3)/365,C14),2)),C14)</f>
        <v/>
      </c>
      <c r="D15" s="2198" t="str">
        <f>IF(A13="出让",IF(D13="","",ROUNDDOWN(MIN((D13-$D$3)/365,D14),2)),D14)</f>
        <v/>
      </c>
      <c r="E15" s="2198" t="str">
        <f>IF(A13="出让",IF(E13="","",ROUNDDOWN(MIN((E13-$D$3)/365,E14),2)),E14)</f>
        <v/>
      </c>
      <c r="F15" s="2198" t="str">
        <f>IF(A13="出让",IF(F13="","",ROUNDDOWN(MIN((F13-$D$3)/365,F14),2)),F14)</f>
        <v/>
      </c>
      <c r="G15" s="2198" t="str">
        <f>IF(A13="出让",IF(G13="","",ROUNDDOWN(MIN((G13-$D$3)/365,G14),2)),G14)</f>
        <v/>
      </c>
      <c r="H15" s="2198">
        <f>IF(A13="出让",IF(H13="","",ROUNDDOWN(MIN((H13-$D$3)/365,H14),2)),H14)</f>
        <v>32.32</v>
      </c>
      <c r="I15" s="2198" t="str">
        <f>IF(A13="出让",IF(I13="","",ROUNDDOWN(MIN((I13-$D$3)/365,I14),2)),I14)</f>
        <v/>
      </c>
      <c r="J15" s="2777"/>
      <c r="K15" s="1647"/>
      <c r="L15" s="1647"/>
      <c r="M15" s="2222"/>
      <c r="N15" s="1647"/>
      <c r="O15" s="2222"/>
      <c r="P15" s="2222"/>
      <c r="Q15" s="2222"/>
      <c r="AD15" s="1595"/>
    </row>
    <row r="16" spans="1:30">
      <c r="A16" s="2188" t="s">
        <v>2193</v>
      </c>
      <c r="B16" s="3200"/>
      <c r="C16" s="3201"/>
      <c r="D16" s="3202"/>
      <c r="E16" s="2199" t="s">
        <v>2194</v>
      </c>
      <c r="F16" s="3203"/>
      <c r="G16" s="3204"/>
      <c r="H16" s="3204"/>
      <c r="I16" s="3205"/>
      <c r="J16" s="2222"/>
      <c r="K16" s="2380"/>
      <c r="L16" s="1647"/>
      <c r="M16" s="1647"/>
      <c r="N16" s="2222"/>
      <c r="O16" s="1647"/>
      <c r="P16" s="2222"/>
      <c r="Q16" s="2222"/>
      <c r="R16" s="2222"/>
    </row>
    <row r="17" spans="1:28">
      <c r="A17" s="299" t="s">
        <v>2195</v>
      </c>
      <c r="B17" s="288" t="s">
        <v>2196</v>
      </c>
      <c r="C17" s="8">
        <f>'数据-汇总表'!E3</f>
        <v>6647.2</v>
      </c>
      <c r="D17" s="1234" t="s">
        <v>2197</v>
      </c>
      <c r="E17" s="3206" t="s">
        <v>2198</v>
      </c>
      <c r="F17" s="3207"/>
      <c r="G17" s="3207"/>
      <c r="H17" s="3207"/>
      <c r="I17" s="3208"/>
      <c r="J17" s="2222"/>
      <c r="K17" s="2381"/>
      <c r="L17" s="1647"/>
      <c r="M17" s="1647"/>
      <c r="N17" s="2222"/>
      <c r="O17" s="1647"/>
      <c r="P17" s="2222"/>
      <c r="Q17" s="2222"/>
      <c r="R17" s="2222"/>
      <c r="S17" s="2222"/>
      <c r="T17" s="2222"/>
      <c r="U17" s="2222"/>
      <c r="V17" s="2222"/>
    </row>
    <row r="18" spans="1:28" ht="24.75" thickBot="1">
      <c r="A18" s="2200" t="s">
        <v>2199</v>
      </c>
      <c r="B18" s="1005" t="s">
        <v>2200</v>
      </c>
      <c r="C18" s="2201">
        <f>'数据-汇总表'!D3</f>
        <v>6544.93</v>
      </c>
      <c r="D18" s="1007" t="s">
        <v>2201</v>
      </c>
      <c r="E18" s="3209" t="s">
        <v>2202</v>
      </c>
      <c r="F18" s="3210"/>
      <c r="G18" s="3210"/>
      <c r="H18" s="3210"/>
      <c r="I18" s="3211"/>
      <c r="J18" s="2222"/>
      <c r="K18" s="2381"/>
      <c r="L18" s="1647"/>
      <c r="M18" s="1647"/>
      <c r="N18" s="2222"/>
      <c r="O18" s="1647"/>
      <c r="P18" s="2222"/>
      <c r="Q18" s="2222"/>
      <c r="R18" s="2222"/>
      <c r="S18" s="2222"/>
      <c r="T18" s="2222"/>
      <c r="U18" s="2222"/>
      <c r="V18" s="2222"/>
    </row>
    <row r="19" spans="1:28" ht="37.5" thickTop="1" thickBot="1">
      <c r="A19" s="312" t="s">
        <v>1055</v>
      </c>
      <c r="B19" s="293" t="s">
        <v>2203</v>
      </c>
      <c r="C19" s="1433"/>
      <c r="D19" s="1434" t="s">
        <v>2204</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2205</v>
      </c>
      <c r="B20" s="3196" t="s">
        <v>2206</v>
      </c>
      <c r="C20" s="3197"/>
      <c r="D20" s="3198" t="s">
        <v>2207</v>
      </c>
      <c r="E20" s="3199"/>
      <c r="F20" s="2407" t="s">
        <v>1056</v>
      </c>
      <c r="G20" s="2418"/>
      <c r="H20" s="2418"/>
      <c r="I20" s="2418"/>
      <c r="J20" s="2222"/>
      <c r="K20" s="3195"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2209</v>
      </c>
      <c r="C21" s="2273" t="s">
        <v>1057</v>
      </c>
      <c r="D21" s="1438" t="s">
        <v>2210</v>
      </c>
      <c r="E21" s="2396" t="s">
        <v>1057</v>
      </c>
      <c r="F21" s="2408"/>
      <c r="G21" s="2418"/>
      <c r="H21" s="2418"/>
      <c r="I21" s="2418"/>
      <c r="J21" s="2222"/>
      <c r="K21" s="3195"/>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2211</v>
      </c>
      <c r="C22" s="2273" t="s">
        <v>1058</v>
      </c>
      <c r="D22" s="2418"/>
      <c r="E22" s="2418"/>
      <c r="F22" s="2418"/>
      <c r="G22" s="2418"/>
      <c r="H22" s="2418"/>
      <c r="I22" s="2418"/>
      <c r="J22" s="2222"/>
      <c r="K22" s="3195"/>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2212</v>
      </c>
      <c r="B23" s="2270" t="s">
        <v>2213</v>
      </c>
      <c r="C23" s="2399"/>
      <c r="D23" s="2400" t="s">
        <v>2213</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184" t="s">
        <v>2214</v>
      </c>
      <c r="B27" s="305" t="s">
        <v>2215</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184"/>
      <c r="B28" s="288" t="s">
        <v>2216</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184"/>
      <c r="B29" s="288" t="s">
        <v>2217</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185"/>
      <c r="B30" s="288" t="s">
        <v>2218</v>
      </c>
      <c r="C30" s="3186"/>
      <c r="D30" s="3187"/>
      <c r="E30" s="2418"/>
      <c r="F30" s="2418"/>
      <c r="G30" s="2418"/>
      <c r="H30" s="2418"/>
      <c r="I30" s="2418"/>
      <c r="J30" s="2222"/>
      <c r="K30" s="2379"/>
      <c r="L30" s="2376"/>
      <c r="M30" s="2376"/>
      <c r="N30" s="2222"/>
      <c r="O30" s="1647"/>
      <c r="P30" s="2222"/>
      <c r="Q30" s="2222"/>
      <c r="R30" s="2222"/>
      <c r="S30" s="2222"/>
      <c r="T30" s="2222"/>
      <c r="U30" s="2222"/>
      <c r="V30" s="2222"/>
    </row>
    <row r="31" spans="1:28">
      <c r="A31" s="3188" t="s">
        <v>2219</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189"/>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189"/>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2220</v>
      </c>
      <c r="B34" s="1847"/>
      <c r="C34" s="1847"/>
      <c r="D34" s="1847"/>
      <c r="E34" s="1847"/>
      <c r="F34" s="1847"/>
      <c r="G34" s="1847"/>
      <c r="H34" s="1847"/>
      <c r="I34" s="2418"/>
      <c r="J34" s="2222"/>
      <c r="K34" s="8">
        <f>COUNTIF(B34:H34,"——")</f>
        <v>0</v>
      </c>
      <c r="L34" s="308" t="s">
        <v>2221</v>
      </c>
      <c r="M34" s="308" t="s">
        <v>2222</v>
      </c>
      <c r="N34" s="308" t="s">
        <v>2223</v>
      </c>
      <c r="O34" s="308" t="s">
        <v>2224</v>
      </c>
      <c r="P34" s="308" t="s">
        <v>2225</v>
      </c>
      <c r="Q34" s="308" t="s">
        <v>2226</v>
      </c>
      <c r="R34" s="308" t="s">
        <v>2227</v>
      </c>
      <c r="S34" s="3183" t="s">
        <v>2228</v>
      </c>
      <c r="T34" s="308" t="str">
        <f>NUMBERSTRING(7-K34,1)&amp;"通"</f>
        <v>七通</v>
      </c>
      <c r="U34" s="2222"/>
      <c r="V34" s="2222"/>
    </row>
    <row r="35" spans="1:30">
      <c r="A35" s="2213"/>
      <c r="B35" s="3183" t="s">
        <v>2229</v>
      </c>
      <c r="C35" s="3183"/>
      <c r="D35" s="3183"/>
      <c r="E35" s="3183"/>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183"/>
      <c r="T35" s="132" t="str">
        <f>IF(T34="一通",L35,IF(T34="二通",M35,IF(T34="三通",N35,IF(T34="四通",O35,IF(T34="五通",P35,IF(T34="六通",Q35,R35))))))</f>
        <v>、、、、、、</v>
      </c>
      <c r="U35" s="2222"/>
      <c r="V35" s="2222"/>
    </row>
    <row r="36" spans="1:30">
      <c r="A36" s="2160"/>
      <c r="B36" s="8" t="s">
        <v>2185</v>
      </c>
      <c r="C36" s="8" t="s">
        <v>2186</v>
      </c>
      <c r="D36" s="8" t="s">
        <v>2184</v>
      </c>
      <c r="E36" s="8" t="s">
        <v>2189</v>
      </c>
      <c r="F36" s="2773" t="s">
        <v>2577</v>
      </c>
      <c r="G36" s="2418"/>
      <c r="H36" s="2418"/>
      <c r="I36" s="2418"/>
      <c r="J36" s="2222"/>
      <c r="K36" s="2379"/>
      <c r="L36" s="2376"/>
      <c r="M36" s="2376"/>
      <c r="N36" s="2222"/>
      <c r="O36" s="1647"/>
      <c r="P36" s="2222"/>
      <c r="Q36" s="2222"/>
      <c r="R36" s="2222"/>
      <c r="S36" s="2222"/>
      <c r="T36" s="2222"/>
      <c r="U36" s="2222"/>
      <c r="V36" s="2222"/>
    </row>
    <row r="37" spans="1:30">
      <c r="A37" s="2392" t="s">
        <v>2230</v>
      </c>
      <c r="B37" s="2214"/>
      <c r="C37" s="2214"/>
      <c r="D37" s="2214"/>
      <c r="E37" s="2214" t="s">
        <v>304</v>
      </c>
      <c r="F37" s="2214"/>
      <c r="G37" s="2418"/>
      <c r="H37" s="2418"/>
      <c r="I37" s="2418"/>
      <c r="J37" s="2222"/>
      <c r="K37" s="2379"/>
      <c r="L37" s="2376"/>
      <c r="M37" s="2376"/>
      <c r="N37" s="2222"/>
      <c r="O37" s="1647"/>
      <c r="P37" s="2222"/>
      <c r="Q37" s="2222"/>
      <c r="R37" s="2222"/>
      <c r="S37" s="2222"/>
      <c r="T37" s="2222"/>
      <c r="U37" s="2222"/>
      <c r="V37" s="2222"/>
    </row>
    <row r="38" spans="1:30" ht="13.5" thickBot="1">
      <c r="A38" s="2393" t="s">
        <v>2231</v>
      </c>
      <c r="B38" s="2215"/>
      <c r="C38" s="2215"/>
      <c r="D38" s="2215"/>
      <c r="E38" s="2215" t="s">
        <v>3388</v>
      </c>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2232</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2233</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2234</v>
      </c>
      <c r="B42" s="8" t="s">
        <v>2235</v>
      </c>
      <c r="C42" s="8" t="s">
        <v>2236</v>
      </c>
      <c r="D42" s="8" t="s">
        <v>2237</v>
      </c>
      <c r="E42" s="8" t="s">
        <v>2238</v>
      </c>
      <c r="F42" s="8" t="s">
        <v>2239</v>
      </c>
      <c r="G42" s="8" t="s">
        <v>2240</v>
      </c>
      <c r="H42" s="8" t="s">
        <v>2241</v>
      </c>
      <c r="I42" s="8" t="s">
        <v>2242</v>
      </c>
      <c r="J42" s="2388" t="s">
        <v>2243</v>
      </c>
      <c r="K42" s="2389" t="s">
        <v>2244</v>
      </c>
      <c r="L42" s="2389" t="s">
        <v>2245</v>
      </c>
      <c r="M42" s="2389" t="s">
        <v>2246</v>
      </c>
      <c r="N42" s="2382" t="s">
        <v>2247</v>
      </c>
      <c r="O42" s="2382" t="s">
        <v>2248</v>
      </c>
      <c r="P42" s="2382" t="s">
        <v>2249</v>
      </c>
      <c r="Q42" s="2383" t="s">
        <v>2250</v>
      </c>
      <c r="R42" s="2383" t="s">
        <v>2251</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customWidth="1"/>
    <col min="16" max="16" width="9.75" style="1441" customWidth="1"/>
    <col min="17" max="17" width="9.375" style="1441" customWidth="1"/>
    <col min="18" max="18" width="9.25" style="1441" customWidth="1"/>
    <col min="19" max="19" width="10.875" style="1441" customWidth="1"/>
    <col min="20" max="21" width="10.75" style="1441" customWidth="1"/>
    <col min="22" max="22" width="10.875" style="1441" customWidth="1"/>
    <col min="23" max="27" width="10.75" style="1441" customWidth="1"/>
    <col min="28" max="28" width="10.875" style="1441" customWidth="1"/>
    <col min="29" max="29" width="11" style="1441" bestFit="1" customWidth="1"/>
    <col min="30" max="30" width="10" style="1441" bestFit="1" customWidth="1"/>
    <col min="31" max="31" width="9.75" style="1441" customWidth="1"/>
    <col min="32"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6544.93</v>
      </c>
      <c r="B3" s="11">
        <f>IF(C3="否",G5-AT5,G5)</f>
        <v>6647.2</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6647.2</v>
      </c>
      <c r="H5" s="13">
        <f t="shared" ref="H5:AT5" si="0">SUM(H13:H656)</f>
        <v>6647.2</v>
      </c>
      <c r="I5" s="13">
        <f t="shared" si="0"/>
        <v>6647.2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6647.2</v>
      </c>
      <c r="BA5" s="15">
        <f t="shared" si="1"/>
        <v>6647.2</v>
      </c>
      <c r="BB5" s="15">
        <f t="shared" si="1"/>
        <v>6647.2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5" customFormat="1" ht="12.75">
      <c r="A6" s="12" t="s">
        <v>1072</v>
      </c>
      <c r="B6" s="1452"/>
      <c r="C6" s="1452"/>
      <c r="D6" s="1453"/>
      <c r="E6" s="13">
        <f>H6+AC6+AT6</f>
        <v>6544.93</v>
      </c>
      <c r="F6" s="13" t="s">
        <v>0</v>
      </c>
      <c r="G6" s="13" t="s">
        <v>1</v>
      </c>
      <c r="H6" s="17">
        <f>SUMIF(I$12:AB$12,"总值",I6:AB6)</f>
        <v>6544.93</v>
      </c>
      <c r="I6" s="13">
        <f t="shared" ref="I6:AB6" si="2">ROUND($A$3*I5/$B$3,2)</f>
        <v>6544.93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6544.93</v>
      </c>
      <c r="AZ6" s="13" t="s">
        <v>2</v>
      </c>
      <c r="BA6" s="13">
        <f>ROUND($AY$6*BA5/$AZ$5,2)</f>
        <v>6544.93</v>
      </c>
      <c r="BB6" s="13">
        <f>ROUND($AY$6*BB5/$AZ$5,2)</f>
        <v>6544.93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3391</v>
      </c>
      <c r="J9" s="743"/>
      <c r="K9" s="1469"/>
      <c r="L9" s="743"/>
      <c r="M9" s="1469"/>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v>
      </c>
      <c r="J10" s="743"/>
      <c r="K10" s="1475"/>
      <c r="L10" s="743"/>
      <c r="M10" s="1475"/>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f>K9</f>
        <v>0</v>
      </c>
      <c r="BD10" s="26">
        <f>M9</f>
        <v>0</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工业</v>
      </c>
      <c r="BC11" s="1465">
        <f>K10</f>
        <v>0</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16" t="s">
        <v>3389</v>
      </c>
      <c r="D13" s="1491" t="s">
        <v>3390</v>
      </c>
      <c r="E13" s="13">
        <f>IF($C$3="是",ROUND($A$3*G13/$B$3,2),ROUND($A$3*(G13-AT13)/$B$3,2))</f>
        <v>6544.93</v>
      </c>
      <c r="F13" s="29"/>
      <c r="G13" s="30">
        <f>H13+AC13+AT13</f>
        <v>6647.2</v>
      </c>
      <c r="H13" s="17">
        <f>SUMIF(I$12:AB$12,"总值",I13:AB13)</f>
        <v>6647.2</v>
      </c>
      <c r="I13" s="1492">
        <v>6647.2</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0</v>
      </c>
      <c r="AD13" s="968"/>
      <c r="AE13" s="968"/>
      <c r="AF13" s="968"/>
      <c r="AG13" s="968"/>
      <c r="AH13" s="968"/>
      <c r="AI13" s="968"/>
      <c r="AJ13" s="968"/>
      <c r="AK13" s="968"/>
      <c r="AL13" s="968"/>
      <c r="AM13" s="968"/>
      <c r="AN13" s="968"/>
      <c r="AO13" s="968"/>
      <c r="AP13" s="968"/>
      <c r="AQ13" s="968"/>
      <c r="AR13" s="968"/>
      <c r="AS13" s="968"/>
      <c r="AT13" s="29"/>
      <c r="AU13" s="1493"/>
      <c r="AV13" s="8">
        <f t="shared" ref="AV13:AX17" si="6">A13</f>
        <v>0</v>
      </c>
      <c r="AW13" s="8">
        <f t="shared" si="6"/>
        <v>0</v>
      </c>
      <c r="AX13" s="8" t="str">
        <f t="shared" si="6"/>
        <v>工业</v>
      </c>
      <c r="AY13" s="1238">
        <f>ROUND($AY$6*AZ13/$AZ$5,2)</f>
        <v>6544.93</v>
      </c>
      <c r="AZ13" s="13">
        <f>BA13+BL13</f>
        <v>6647.2</v>
      </c>
      <c r="BA13" s="13">
        <f>SUM(BB13:BK13)</f>
        <v>6647.2</v>
      </c>
      <c r="BB13" s="13">
        <f>IF($D13="是",I13-J13,0)</f>
        <v>6647.2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6" customFormat="1" ht="12.75">
      <c r="A14" s="621"/>
      <c r="B14" s="621"/>
      <c r="C14" s="1440"/>
      <c r="D14" s="1491"/>
      <c r="E14" s="13">
        <f>IF($C$3="是",ROUND($A$3*G14/$B$3,2),ROUND($A$3*(G14-AT14)/$B$3,2))</f>
        <v>0</v>
      </c>
      <c r="F14" s="29"/>
      <c r="G14" s="30">
        <f>H14+AC14+AT14</f>
        <v>0</v>
      </c>
      <c r="H14" s="17">
        <f>SUMIF(I$12:AB$12,"总值",I14:AB14)</f>
        <v>0</v>
      </c>
      <c r="I14" s="1492"/>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f t="shared" si="6"/>
        <v>0</v>
      </c>
      <c r="AY14" s="12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L39" sqref="L39"/>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21" t="s">
        <v>1131</v>
      </c>
      <c r="B2" s="3221"/>
      <c r="C2" s="3221"/>
      <c r="D2" s="730" t="s">
        <v>1107</v>
      </c>
      <c r="E2" s="1501" t="s">
        <v>1108</v>
      </c>
      <c r="F2" s="2415"/>
      <c r="G2" s="2409"/>
      <c r="H2" s="2410"/>
      <c r="I2" s="2123" t="s">
        <v>1132</v>
      </c>
      <c r="J2" s="2415"/>
      <c r="K2" s="2415"/>
      <c r="L2" s="2415"/>
      <c r="M2" s="2415"/>
      <c r="N2" s="2416"/>
      <c r="O2" s="2415"/>
      <c r="P2" s="2415"/>
    </row>
    <row r="3" spans="1:16" ht="15.75" thickBot="1">
      <c r="A3" s="3222" t="s">
        <v>1105</v>
      </c>
      <c r="B3" s="3222"/>
      <c r="C3" s="3222"/>
      <c r="D3" s="41">
        <f>'数据-基础表'!AY6</f>
        <v>6544.93</v>
      </c>
      <c r="E3" s="41">
        <f>'数据-基础表'!AZ5</f>
        <v>6647.2</v>
      </c>
      <c r="F3" s="2415"/>
      <c r="G3" s="42"/>
      <c r="H3" s="43" t="s">
        <v>1106</v>
      </c>
      <c r="I3" s="784">
        <f>ROUND('数据-基础表'!B3/'数据-基础表'!A3,2)</f>
        <v>1.02</v>
      </c>
      <c r="J3" s="2415"/>
      <c r="K3" s="2415"/>
      <c r="L3" s="2415"/>
      <c r="M3" s="2415"/>
      <c r="N3" s="2416"/>
      <c r="O3" s="2415"/>
      <c r="P3" s="2415"/>
    </row>
    <row r="4" spans="1:16" ht="15">
      <c r="A4" s="3223"/>
      <c r="B4" s="3224"/>
      <c r="C4" s="3225"/>
      <c r="D4" s="1502" t="s">
        <v>1107</v>
      </c>
      <c r="E4" s="1503" t="s">
        <v>1108</v>
      </c>
      <c r="F4" s="2415"/>
      <c r="G4" s="2411" t="s">
        <v>1133</v>
      </c>
      <c r="H4" s="43" t="s">
        <v>1113</v>
      </c>
      <c r="I4" s="784">
        <f>ROUND(SUMIF('数据-基础表'!I9:AS9,"地上",'数据-基础表'!I5:AS5)/'数据-基础表'!A3,2)</f>
        <v>1.02</v>
      </c>
      <c r="J4" s="2415"/>
      <c r="K4" s="2415"/>
      <c r="L4" s="2415"/>
      <c r="M4" s="2415"/>
      <c r="N4" s="2416"/>
      <c r="O4" s="2415"/>
      <c r="P4" s="2415"/>
    </row>
    <row r="5" spans="1:16">
      <c r="A5" s="42" t="s">
        <v>1109</v>
      </c>
      <c r="B5" s="3226" t="s">
        <v>1110</v>
      </c>
      <c r="C5" s="3226"/>
      <c r="D5" s="43">
        <f>ROUND($D$3*E5/$E$3,2)</f>
        <v>0</v>
      </c>
      <c r="E5" s="44">
        <f>SUMIF('数据-基础表'!$11:$11,"住宅",'数据-基础表'!$5:$5)</f>
        <v>0</v>
      </c>
      <c r="F5" s="2415"/>
      <c r="G5" s="42"/>
      <c r="H5" s="43" t="s">
        <v>1106</v>
      </c>
      <c r="I5" s="784">
        <f>ROUND(E31/D31,2)</f>
        <v>1.02</v>
      </c>
      <c r="J5" s="2415"/>
      <c r="K5" s="2415"/>
      <c r="L5" s="2415"/>
      <c r="M5" s="2415"/>
      <c r="N5" s="2415"/>
      <c r="O5" s="2415"/>
      <c r="P5" s="2415"/>
    </row>
    <row r="6" spans="1:16" ht="15" thickBot="1">
      <c r="A6" s="1505"/>
      <c r="B6" s="3226" t="s">
        <v>1111</v>
      </c>
      <c r="C6" s="3226"/>
      <c r="D6" s="43">
        <f>ROUND($D$3*E6/$E$3,2)</f>
        <v>6544.93</v>
      </c>
      <c r="E6" s="44">
        <f>E3-E5</f>
        <v>6647.2</v>
      </c>
      <c r="F6" s="2415"/>
      <c r="G6" s="1507" t="s">
        <v>1112</v>
      </c>
      <c r="H6" s="45" t="s">
        <v>1113</v>
      </c>
      <c r="I6" s="2412">
        <f>ROUND(F31/D31,2)</f>
        <v>1.02</v>
      </c>
      <c r="J6" s="2415"/>
      <c r="K6" s="2415"/>
      <c r="L6" s="2415"/>
      <c r="M6" s="2415"/>
      <c r="N6" s="2415"/>
      <c r="O6" s="2415"/>
      <c r="P6" s="2415"/>
    </row>
    <row r="7" spans="1:16" ht="15.75" thickBot="1">
      <c r="A7" s="3218"/>
      <c r="B7" s="3219"/>
      <c r="C7" s="3220"/>
      <c r="D7" s="1502" t="s">
        <v>1107</v>
      </c>
      <c r="E7" s="1506" t="s">
        <v>1114</v>
      </c>
      <c r="F7" s="2415"/>
      <c r="G7" s="2413" t="s">
        <v>1115</v>
      </c>
      <c r="H7" s="95"/>
      <c r="I7" s="2414"/>
      <c r="J7" s="2415"/>
      <c r="K7" s="2415"/>
      <c r="L7" s="2415"/>
      <c r="M7" s="2415"/>
      <c r="N7" s="2415"/>
      <c r="O7" s="2415"/>
      <c r="P7" s="2415"/>
    </row>
    <row r="8" spans="1:16">
      <c r="A8" s="42" t="s">
        <v>1116</v>
      </c>
      <c r="B8" s="45" t="s">
        <v>1117</v>
      </c>
      <c r="C8" s="43" t="s">
        <v>1118</v>
      </c>
      <c r="D8" s="43">
        <f t="shared" ref="D8:D15" si="0">ROUND($D$3*E8/$E$3,2)</f>
        <v>6544.93</v>
      </c>
      <c r="E8" s="46">
        <f>SUMIF('数据-基础表'!BB10:BK10,"地上",'数据-基础表'!BB5:BK5)</f>
        <v>6647.2</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6544.93</v>
      </c>
      <c r="E16" s="48">
        <f>SUM(E8:E15)</f>
        <v>6647.2</v>
      </c>
      <c r="F16" s="2415"/>
      <c r="G16" s="2415"/>
      <c r="H16" s="1509" t="s">
        <v>1135</v>
      </c>
      <c r="I16" s="1510"/>
      <c r="J16" s="1049"/>
      <c r="K16" s="3215" t="s">
        <v>1135</v>
      </c>
      <c r="L16" s="3216"/>
      <c r="M16" s="3216"/>
      <c r="N16" s="3216"/>
      <c r="O16" s="3216"/>
      <c r="P16" s="3217"/>
    </row>
    <row r="17" spans="1:19" ht="15">
      <c r="A17" s="1511" t="s">
        <v>1136</v>
      </c>
      <c r="B17" s="1512" t="s">
        <v>1137</v>
      </c>
      <c r="C17" s="1513" t="s">
        <v>1138</v>
      </c>
      <c r="D17" s="1514" t="s">
        <v>1126</v>
      </c>
      <c r="E17" s="1515" t="s">
        <v>1127</v>
      </c>
      <c r="F17" s="1516"/>
      <c r="G17" s="1517"/>
      <c r="H17" s="1518" t="s">
        <v>1139</v>
      </c>
      <c r="I17" s="1519" t="s">
        <v>1124</v>
      </c>
      <c r="J17" s="1049"/>
      <c r="K17" s="3212" t="s">
        <v>1140</v>
      </c>
      <c r="L17" s="3213"/>
      <c r="M17" s="3214"/>
      <c r="N17" s="3212" t="s">
        <v>1141</v>
      </c>
      <c r="O17" s="3213"/>
      <c r="P17" s="3214"/>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8" t="str">
        <f>'数据-基础表'!C13</f>
        <v>工业</v>
      </c>
      <c r="D19" s="43">
        <f>ROUND($D$3*E19/$E$3,2)</f>
        <v>6544.93</v>
      </c>
      <c r="E19" s="51">
        <f t="shared" ref="E19:E26" si="1">SUM(F19:G19)</f>
        <v>6647.2</v>
      </c>
      <c r="F19" s="2532">
        <f>'数据-基础表'!I13</f>
        <v>6647.2</v>
      </c>
      <c r="G19" s="1221"/>
      <c r="H19" s="630">
        <f>ROUND($D$3*I19/$E$3,2)</f>
        <v>0</v>
      </c>
      <c r="I19" s="46">
        <f t="shared" ref="I19:I26" si="2">IF($I$17="自定义",P19,M19)</f>
        <v>0</v>
      </c>
      <c r="J19" s="1049"/>
      <c r="K19" s="630">
        <f t="shared" ref="K19:K26" si="3">ROUND(E$28*E19/E$27,2)</f>
        <v>0</v>
      </c>
      <c r="L19" s="43">
        <f t="shared" ref="L19:L26" si="4">ROUND(IF(COUNTIF(C19,"*住宅*")&gt;0,E$29*E19/E$32,0),2)</f>
        <v>0</v>
      </c>
      <c r="M19" s="46">
        <f>K19+L19</f>
        <v>0</v>
      </c>
      <c r="N19" s="1528"/>
      <c r="O19" s="1529"/>
      <c r="P19" s="46">
        <f>N19+O19</f>
        <v>0</v>
      </c>
      <c r="R19" s="43">
        <f t="shared" ref="R19:S26" si="5">D19+H19</f>
        <v>6544.93</v>
      </c>
      <c r="S19" s="51">
        <f t="shared" si="5"/>
        <v>6647.2</v>
      </c>
    </row>
    <row r="20" spans="1:19">
      <c r="A20" s="1527"/>
      <c r="B20" s="45" t="s">
        <v>1153</v>
      </c>
      <c r="C20" s="3088"/>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8"/>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6544.93</v>
      </c>
      <c r="E27" s="1051">
        <f>IF(SUM(E19:E26)='数据-基础表'!BA5,SUM(E19:E26),IF(F27="地上面积有误","面积有误","地下面积有误"))</f>
        <v>6647.2</v>
      </c>
      <c r="F27" s="1050">
        <f>IF(SUM(F19:F26)=E8,SUM(F19:F26),"地上面积有误")</f>
        <v>6647.2</v>
      </c>
      <c r="G27" s="1052">
        <f>SUM(G19:G26)</f>
        <v>0</v>
      </c>
      <c r="H27" s="1053">
        <f>SUM(H19:H26)</f>
        <v>0</v>
      </c>
      <c r="I27" s="1054">
        <f>SUM(I19:I26)</f>
        <v>0</v>
      </c>
      <c r="J27" s="1049"/>
      <c r="K27" s="1055">
        <f>SUM(K19:K26)</f>
        <v>0</v>
      </c>
      <c r="L27" s="767">
        <f>SUM(L19:L26)</f>
        <v>0</v>
      </c>
      <c r="M27" s="1056">
        <f>SUM(M19:M26)</f>
        <v>0</v>
      </c>
      <c r="N27" s="1055">
        <f t="shared" ref="N27:O27" si="10">SUM(N19:N26)</f>
        <v>0</v>
      </c>
      <c r="O27" s="767">
        <f t="shared" si="10"/>
        <v>0</v>
      </c>
      <c r="P27" s="94">
        <f>SUM(P19:P26)</f>
        <v>0</v>
      </c>
      <c r="R27" s="948">
        <f>IF(SUM(R19:R26)=$D$3,SUM(R19:R26),SUM(R19:R26)&amp;"误差"&amp;ROUND(SUM(R19:R26)-$D$3,2))</f>
        <v>6544.93</v>
      </c>
      <c r="S27" s="43">
        <f>IF(SUM(S19:S26)=$E$3,SUM(S19:S26),SUM(S19:S26)&amp;"误差"&amp;ROUND(SUM(S19:S26)-E3,2))</f>
        <v>6647.2</v>
      </c>
    </row>
    <row r="28" spans="1:19">
      <c r="A28" s="1527"/>
      <c r="B28" s="45" t="s">
        <v>1155</v>
      </c>
      <c r="C28" s="54" t="s">
        <v>1156</v>
      </c>
      <c r="D28" s="43">
        <f>ROUND($D$3*E28/$E$3,2)</f>
        <v>0</v>
      </c>
      <c r="E28" s="51">
        <f>SUM(F28:G28)</f>
        <v>0</v>
      </c>
      <c r="F28" s="54">
        <f>'数据-基础表'!BQ5+'数据-基础表'!BS5</f>
        <v>0</v>
      </c>
      <c r="G28" s="55">
        <f>'数据-基础表'!BR5+'数据-基础表'!BT5</f>
        <v>0</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0</v>
      </c>
      <c r="E30" s="1050">
        <f>SUM(E28:E29)</f>
        <v>0</v>
      </c>
      <c r="F30" s="1050">
        <f>SUM(F28:F29)</f>
        <v>0</v>
      </c>
      <c r="G30" s="1052">
        <f>SUM(G28:G29)</f>
        <v>0</v>
      </c>
      <c r="H30" s="2415"/>
      <c r="I30" s="2415"/>
      <c r="J30" s="2415"/>
      <c r="K30" s="2415"/>
      <c r="L30" s="2415"/>
      <c r="M30" s="2415"/>
      <c r="N30" s="2415"/>
      <c r="O30" s="2415"/>
      <c r="P30" s="2415"/>
    </row>
    <row r="31" spans="1:19" ht="15.75" thickBot="1">
      <c r="A31" s="1535"/>
      <c r="B31" s="96"/>
      <c r="C31" s="767" t="s">
        <v>1158</v>
      </c>
      <c r="D31" s="633">
        <f>D27+D30</f>
        <v>6544.93</v>
      </c>
      <c r="E31" s="633">
        <f>E27+E30</f>
        <v>6647.2</v>
      </c>
      <c r="F31" s="634">
        <f>F27+F30</f>
        <v>6647.2</v>
      </c>
      <c r="G31" s="635">
        <f>G27+G30</f>
        <v>0</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6" sqref="F26"/>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45695</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23"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3399</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24" t="str">
        <f>'数据-汇总表'!C19</f>
        <v>工业</v>
      </c>
      <c r="B6" s="1564" t="str">
        <f>IF(A6=0,"","经营性")</f>
        <v>经营性</v>
      </c>
      <c r="C6" s="1565" t="s">
        <v>3</v>
      </c>
      <c r="D6" s="3125">
        <f>SUMIF(项目基本情况!C$12:I$12,C6,项目基本情况!C$14:I$14)</f>
        <v>50</v>
      </c>
      <c r="E6" s="3126">
        <f>IF(B6="","",SUMIF(项目基本情况!C$12:I$12,C6,项目基本情况!C$13:I$13))</f>
        <v>57495</v>
      </c>
      <c r="F6" s="61">
        <f>SUMIF(项目基本情况!C$12:I$12,C6,项目基本情况!C$15:I$15)</f>
        <v>32.32</v>
      </c>
      <c r="G6" s="62">
        <f>IF(ISERROR(ROUND(POWER(1+H6,D6-F6)*(POWER(1+H6,F6)-1)/(POWER(1+H6,D6)-1),3)),0,ROUND(POWER(1+H6,D6-F6)*(POWER(1+H6,F6)-1)/(POWER(1+H6,D6)-1),3))</f>
        <v>0.85299999999999998</v>
      </c>
      <c r="H6" s="3127">
        <v>4.4999999999999998E-2</v>
      </c>
      <c r="I6" s="3127">
        <v>0.05</v>
      </c>
      <c r="J6" s="63">
        <v>7.0000000000000007E-2</v>
      </c>
      <c r="K6" s="66">
        <f>SUMIF('数据-汇总表'!C$19:C$33,A6,'数据-汇总表'!E$19:E$33)</f>
        <v>6647.2</v>
      </c>
      <c r="L6" s="79">
        <v>3300</v>
      </c>
      <c r="M6" s="64">
        <f t="shared" ref="M6:M14" si="0">ROUND(K6*L6/10000,0)</f>
        <v>2194</v>
      </c>
      <c r="N6" s="80">
        <f>ROUND((1-(2024-2009)/50+80%)/2,2)</f>
        <v>0.75</v>
      </c>
      <c r="O6" s="64" t="str">
        <f>IF($N$5="成新度","——",ROUND(M6*N6,0))</f>
        <v>——</v>
      </c>
      <c r="P6" s="65" t="str">
        <f>IF($N$5="成新度","——",M6-O6)</f>
        <v>——</v>
      </c>
      <c r="Q6" s="78">
        <v>0.05</v>
      </c>
      <c r="R6" s="66">
        <f ca="1">SUMIF('数据-汇总表'!C$19:C$33,A6,'数据-汇总表'!R$19:R$27)</f>
        <v>6544.93</v>
      </c>
      <c r="S6" s="49">
        <f>IF('数据-汇总表'!$I$17="按面积比例",SUMIF('数据-汇总表'!C$19:C$33,A6,'数据-汇总表'!K$19:K$33),SUMIF('数据-汇总表'!C$19:C$33,A6,'数据-汇总表'!N$19:N$33))</f>
        <v>0</v>
      </c>
      <c r="T6" s="1070">
        <f>ROUND($L$14*S6/10000,0)</f>
        <v>0</v>
      </c>
      <c r="U6" s="3099">
        <v>1.4</v>
      </c>
      <c r="V6" s="67">
        <v>0.02</v>
      </c>
      <c r="W6" s="67">
        <v>0.1</v>
      </c>
      <c r="X6" s="958"/>
      <c r="Y6" s="68">
        <f>N6</f>
        <v>0.75</v>
      </c>
      <c r="Z6" s="69"/>
      <c r="AA6" s="63"/>
      <c r="AB6" s="63"/>
      <c r="AC6" s="958"/>
      <c r="AD6" s="70"/>
      <c r="AE6" s="959">
        <f ca="1">IF(AN6="",0,SUMIF(INDIRECT("'"&amp;AN6&amp;"'"&amp;"!E:E"),$AE$5,INDIRECT("'"&amp;AN6&amp;"'"&amp;"!F:F")))</f>
        <v>32.32</v>
      </c>
      <c r="AF6" s="74"/>
      <c r="AG6" s="124">
        <f>IF(AF6="",0,AE6-AF6)</f>
        <v>0</v>
      </c>
      <c r="AH6" s="71"/>
      <c r="AI6" s="73">
        <v>365</v>
      </c>
      <c r="AJ6" s="74"/>
      <c r="AK6" s="75">
        <v>2E-3</v>
      </c>
      <c r="AL6" s="76">
        <v>1E-3</v>
      </c>
      <c r="AM6" s="77">
        <v>0.01</v>
      </c>
      <c r="AN6" s="1566" t="s">
        <v>3400</v>
      </c>
      <c r="AO6" s="50">
        <f ca="1">SUMIF(INDIRECT("'"&amp;AN6&amp;"'"&amp;"!A:A"),"总价",INDIRECT("'"&amp;AN6&amp;"'"&amp;"!B:B"))</f>
        <v>5039</v>
      </c>
      <c r="AP6" s="1567">
        <f>IF(C6="住宅",K6*L6,0)</f>
        <v>0</v>
      </c>
      <c r="AQ6" s="50">
        <f>ROUND($L$14*$N$14*S6/10000,0)</f>
        <v>0</v>
      </c>
      <c r="AR6" s="50">
        <f>ROUND($L$14*(1-$N$14)*S6/10000,0)</f>
        <v>0</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24">
        <f>'数据-汇总表'!C20</f>
        <v>0</v>
      </c>
      <c r="B7" s="1564" t="str">
        <f t="shared" ref="B7:B13" si="1">IF(A7=0,"","经营性")</f>
        <v/>
      </c>
      <c r="C7" s="1565"/>
      <c r="D7" s="3125">
        <f>SUMIF(项目基本情况!C$12:I$12,C7,项目基本情况!C$14:I$14)</f>
        <v>0</v>
      </c>
      <c r="E7" s="3126"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27"/>
      <c r="I7" s="3127"/>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9"/>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24">
        <f>'数据-汇总表'!C21</f>
        <v>0</v>
      </c>
      <c r="B8" s="1564" t="str">
        <f t="shared" si="1"/>
        <v/>
      </c>
      <c r="C8" s="1565"/>
      <c r="D8" s="3125">
        <f>SUMIF(项目基本情况!C$12:I$12,C8,项目基本情况!C$14:I$14)</f>
        <v>0</v>
      </c>
      <c r="E8" s="3126" t="str">
        <f>IF(B8="","",SUMIF(项目基本情况!C$12:I$12,C8,项目基本情况!C$13:I$13))</f>
        <v/>
      </c>
      <c r="F8" s="61">
        <f>SUMIF(项目基本情况!C$12:I$12,C8,项目基本情况!C$15:I$15)</f>
        <v>0</v>
      </c>
      <c r="G8" s="62">
        <f t="shared" si="2"/>
        <v>0</v>
      </c>
      <c r="H8" s="3127"/>
      <c r="I8" s="3127"/>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9"/>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24">
        <f>'数据-汇总表'!C22</f>
        <v>0</v>
      </c>
      <c r="B9" s="1564" t="str">
        <f t="shared" si="1"/>
        <v/>
      </c>
      <c r="C9" s="1565"/>
      <c r="D9" s="3125">
        <f>SUMIF(项目基本情况!C$12:I$12,C9,项目基本情况!C$14:I$14)</f>
        <v>0</v>
      </c>
      <c r="E9" s="312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9"/>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24">
        <f>'数据-汇总表'!C23</f>
        <v>0</v>
      </c>
      <c r="B10" s="1564" t="str">
        <f t="shared" si="1"/>
        <v/>
      </c>
      <c r="C10" s="1565"/>
      <c r="D10" s="3125">
        <f>SUMIF(项目基本情况!C$12:I$12,C10,项目基本情况!C$14:I$14)</f>
        <v>0</v>
      </c>
      <c r="E10" s="312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9"/>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24">
        <f>'数据-汇总表'!C24</f>
        <v>0</v>
      </c>
      <c r="B11" s="1564" t="str">
        <f t="shared" si="1"/>
        <v/>
      </c>
      <c r="C11" s="1565"/>
      <c r="D11" s="3125">
        <f>SUMIF(项目基本情况!C$12:I$12,C11,项目基本情况!C$14:I$14)</f>
        <v>0</v>
      </c>
      <c r="E11" s="312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9"/>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24">
        <f>'数据-汇总表'!C25</f>
        <v>0</v>
      </c>
      <c r="B12" s="1564" t="str">
        <f t="shared" si="1"/>
        <v/>
      </c>
      <c r="C12" s="1565"/>
      <c r="D12" s="3125">
        <f>SUMIF(项目基本情况!C$12:I$12,C12,项目基本情况!C$14:I$14)</f>
        <v>0</v>
      </c>
      <c r="E12" s="312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9"/>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24">
        <f>'数据-汇总表'!C26</f>
        <v>0</v>
      </c>
      <c r="B13" s="1564" t="str">
        <f t="shared" si="1"/>
        <v/>
      </c>
      <c r="C13" s="1565"/>
      <c r="D13" s="3125">
        <f>SUMIF(项目基本情况!C$12:I$12,C13,项目基本情况!C$14:I$14)</f>
        <v>0</v>
      </c>
      <c r="E13" s="312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100"/>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25"/>
      <c r="E14" s="3126"/>
      <c r="F14" s="61"/>
      <c r="G14" s="62"/>
      <c r="H14" s="949"/>
      <c r="I14" s="949"/>
      <c r="J14" s="949"/>
      <c r="K14" s="66">
        <f>SUMIF('数据-汇总表'!C$19:C$33,A14,'数据-汇总表'!E$19:E$33)</f>
        <v>0</v>
      </c>
      <c r="L14" s="79"/>
      <c r="M14" s="64">
        <f t="shared" si="0"/>
        <v>0</v>
      </c>
      <c r="N14" s="80"/>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25"/>
      <c r="E15" s="3126"/>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0.85299999999999998</v>
      </c>
      <c r="H16" s="84">
        <f>ROUND(SUMPRODUCT(H6:H13,K6:K13)/SUMPRODUCT((H6:H13&gt;0)*(K6:K13)),3)</f>
        <v>4.4999999999999998E-2</v>
      </c>
      <c r="I16" s="85"/>
      <c r="J16" s="85"/>
      <c r="K16" s="86">
        <f>SUM(K6:K15)</f>
        <v>6647.2</v>
      </c>
      <c r="L16" s="87">
        <f>ROUND(M16*10000/SUM(K6:K14),0)</f>
        <v>3301</v>
      </c>
      <c r="M16" s="87">
        <f>SUM(M6:M14)</f>
        <v>2194</v>
      </c>
      <c r="N16" s="88">
        <f>ROUND(SUMPRODUCT(M6:M14,N6:N14)/M16,3)</f>
        <v>0.75</v>
      </c>
      <c r="O16" s="87">
        <f>SUM(O6:O14)</f>
        <v>0</v>
      </c>
      <c r="P16" s="87">
        <f>SUM(P6:P14)</f>
        <v>0</v>
      </c>
      <c r="Q16" s="89">
        <f>ROUND(SUMPRODUCT(Q6:Q13,K6:K13)/SUMPRODUCT((Q6:Q13&gt;0)*(K6:K13)),2)</f>
        <v>0.05</v>
      </c>
      <c r="R16" s="953">
        <f ca="1">SUM(R6:R13)</f>
        <v>6544.93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2300</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1</v>
      </c>
      <c r="C20" s="2536" t="s">
        <v>2298</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1</v>
      </c>
      <c r="C21" s="2415"/>
      <c r="D21" s="2428"/>
      <c r="E21" s="2415"/>
      <c r="F21" s="2415"/>
      <c r="G21" s="2415"/>
      <c r="H21" s="2415"/>
      <c r="I21" s="2415"/>
      <c r="J21" s="2415"/>
      <c r="K21" s="3227" t="s">
        <v>3409</v>
      </c>
      <c r="L21" s="3228"/>
      <c r="M21" s="3228"/>
      <c r="N21" s="3228"/>
      <c r="O21" s="3228"/>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7.25" customHeight="1">
      <c r="A22" s="1574" t="s">
        <v>1214</v>
      </c>
      <c r="B22" s="99">
        <f>B19+B20</f>
        <v>1</v>
      </c>
      <c r="C22" s="2415"/>
      <c r="D22" s="2428"/>
      <c r="E22" s="2415"/>
      <c r="F22" s="2415"/>
      <c r="G22" s="2415"/>
      <c r="H22" s="2415"/>
      <c r="I22" s="2415"/>
      <c r="J22" s="2415"/>
      <c r="K22" s="3117" t="s">
        <v>3410</v>
      </c>
      <c r="L22" s="3117" t="s">
        <v>3411</v>
      </c>
      <c r="M22" s="3118" t="s">
        <v>3412</v>
      </c>
      <c r="N22" s="3117" t="s">
        <v>3413</v>
      </c>
      <c r="O22" s="3117" t="s">
        <v>3414</v>
      </c>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1</v>
      </c>
      <c r="C23" s="2415"/>
      <c r="D23" s="2428"/>
      <c r="E23" s="2415"/>
      <c r="F23" s="2415"/>
      <c r="G23" s="2415"/>
      <c r="H23" s="2415"/>
      <c r="I23" s="2415"/>
      <c r="J23" s="2415"/>
      <c r="K23" s="3117" t="s">
        <v>3415</v>
      </c>
      <c r="L23" s="3117" t="s">
        <v>3416</v>
      </c>
      <c r="M23" s="3117" t="s">
        <v>3416</v>
      </c>
      <c r="N23" s="3117" t="s">
        <v>3417</v>
      </c>
      <c r="O23" s="3117" t="s">
        <v>3417</v>
      </c>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3118">
        <v>45</v>
      </c>
      <c r="L24" s="3118">
        <v>24</v>
      </c>
      <c r="M24" s="3118">
        <v>20</v>
      </c>
      <c r="N24" s="3118">
        <v>5</v>
      </c>
      <c r="O24" s="3118" t="s">
        <v>3418</v>
      </c>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3118">
        <v>3</v>
      </c>
      <c r="L25" s="3118">
        <v>3</v>
      </c>
      <c r="M25" s="3118">
        <v>2</v>
      </c>
      <c r="N25" s="3118">
        <v>0</v>
      </c>
      <c r="O25" s="3118">
        <v>0</v>
      </c>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3118">
        <v>124000</v>
      </c>
      <c r="L26" s="3118">
        <v>57000</v>
      </c>
      <c r="M26" s="3118">
        <v>32000</v>
      </c>
      <c r="N26" s="3118">
        <v>22000</v>
      </c>
      <c r="O26" s="3118">
        <v>6400</v>
      </c>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28">
        <v>160</v>
      </c>
      <c r="C27" s="2537" t="s">
        <v>2302</v>
      </c>
      <c r="D27" s="2431"/>
      <c r="E27" s="2416"/>
      <c r="F27" s="2416"/>
      <c r="G27" s="2415"/>
      <c r="H27" s="2415"/>
      <c r="I27" s="2415"/>
      <c r="J27" s="2415"/>
      <c r="K27" s="3129">
        <v>100000</v>
      </c>
      <c r="L27" s="3129">
        <v>45000</v>
      </c>
      <c r="M27" s="3129">
        <v>26000</v>
      </c>
      <c r="N27" s="3129">
        <v>22000</v>
      </c>
      <c r="O27" s="3129">
        <v>6400</v>
      </c>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30">
        <v>200</v>
      </c>
      <c r="C28" s="2432"/>
      <c r="D28" s="2431"/>
      <c r="E28" s="2416"/>
      <c r="F28" s="2416"/>
      <c r="G28" s="2415"/>
      <c r="H28" s="2415"/>
      <c r="I28" s="2415"/>
      <c r="J28" s="2415"/>
      <c r="K28" s="3129">
        <v>24000</v>
      </c>
      <c r="L28" s="3129">
        <v>12000</v>
      </c>
      <c r="M28" s="3129">
        <v>6000</v>
      </c>
      <c r="N28" s="3129" t="s">
        <v>3419</v>
      </c>
      <c r="O28" s="3129" t="s">
        <v>3419</v>
      </c>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31">
        <f ca="1">成本法!C10</f>
        <v>133</v>
      </c>
      <c r="C29" s="2538" t="s">
        <v>2294</v>
      </c>
      <c r="D29" s="2431"/>
      <c r="E29" s="2416"/>
      <c r="F29" s="2416"/>
      <c r="G29" s="2415"/>
      <c r="H29" s="2415"/>
      <c r="I29" s="2415"/>
      <c r="J29" s="2415"/>
      <c r="K29" s="3119">
        <f t="shared" ref="K29:O29" si="12">K30+K34+K33</f>
        <v>8084</v>
      </c>
      <c r="L29" s="3119">
        <f t="shared" si="12"/>
        <v>5893</v>
      </c>
      <c r="M29" s="3119">
        <f t="shared" si="12"/>
        <v>4402</v>
      </c>
      <c r="N29" s="3119">
        <f t="shared" si="12"/>
        <v>5920</v>
      </c>
      <c r="O29" s="3119">
        <f t="shared" si="12"/>
        <v>3380</v>
      </c>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32">
        <v>200</v>
      </c>
      <c r="C30" s="2432"/>
      <c r="D30" s="2431"/>
      <c r="E30" s="2416"/>
      <c r="F30" s="2416"/>
      <c r="G30" s="2415"/>
      <c r="H30" s="2415"/>
      <c r="I30" s="2415"/>
      <c r="J30" s="2415"/>
      <c r="K30" s="3120">
        <v>3802</v>
      </c>
      <c r="L30" s="3120">
        <v>3061</v>
      </c>
      <c r="M30" s="3120">
        <v>2273</v>
      </c>
      <c r="N30" s="3120">
        <v>1795</v>
      </c>
      <c r="O30" s="3120">
        <v>1595</v>
      </c>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3129">
        <v>3375</v>
      </c>
      <c r="L31" s="3129">
        <v>2440</v>
      </c>
      <c r="M31" s="3129">
        <v>1670</v>
      </c>
      <c r="N31" s="3129">
        <v>1795</v>
      </c>
      <c r="O31" s="3129">
        <v>1595</v>
      </c>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33">
        <v>0</v>
      </c>
      <c r="C32" s="2432"/>
      <c r="D32" s="2428"/>
      <c r="E32" s="2415"/>
      <c r="F32" s="2415"/>
      <c r="G32" s="2415"/>
      <c r="H32" s="2415"/>
      <c r="I32" s="2415"/>
      <c r="J32" s="2415"/>
      <c r="K32" s="3129">
        <v>5582</v>
      </c>
      <c r="L32" s="3129">
        <v>5390</v>
      </c>
      <c r="M32" s="3129">
        <v>4887</v>
      </c>
      <c r="N32" s="3129" t="s">
        <v>3419</v>
      </c>
      <c r="O32" s="3129" t="s">
        <v>3419</v>
      </c>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34">
        <v>0.05</v>
      </c>
      <c r="C33" s="2536" t="s">
        <v>3421</v>
      </c>
      <c r="D33" s="2428"/>
      <c r="E33" s="2415"/>
      <c r="F33" s="2415"/>
      <c r="G33" s="2415"/>
      <c r="H33" s="2415"/>
      <c r="I33" s="2415"/>
      <c r="J33" s="2415"/>
      <c r="K33" s="3121">
        <v>1613</v>
      </c>
      <c r="L33" s="3121">
        <v>474</v>
      </c>
      <c r="M33" s="3121">
        <v>569</v>
      </c>
      <c r="N33" s="3121">
        <v>700</v>
      </c>
      <c r="O33" s="3121">
        <v>700</v>
      </c>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3422</v>
      </c>
      <c r="D34" s="2434" t="s">
        <v>2299</v>
      </c>
      <c r="E34" s="2435"/>
      <c r="F34" s="2415"/>
      <c r="G34" s="2415"/>
      <c r="H34" s="2415"/>
      <c r="I34" s="2415"/>
      <c r="J34" s="2415"/>
      <c r="K34" s="3122">
        <v>2669</v>
      </c>
      <c r="L34" s="3122">
        <v>2358</v>
      </c>
      <c r="M34" s="3122">
        <v>1560</v>
      </c>
      <c r="N34" s="3122">
        <v>3425</v>
      </c>
      <c r="O34" s="3122">
        <v>1085</v>
      </c>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30">
        <v>200</v>
      </c>
      <c r="C35" s="2536" t="s">
        <v>3423</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35">
        <v>0.02</v>
      </c>
      <c r="C36" s="2536" t="s">
        <v>3424</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36">
        <v>0.02</v>
      </c>
      <c r="C37" s="2536" t="s">
        <v>3425</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3425</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37">
        <f ca="1">存贷款利率!I1</f>
        <v>1.4999999999999999E-2</v>
      </c>
      <c r="C39" s="3138"/>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2308</v>
      </c>
      <c r="B40" s="3139">
        <f ca="1">IF(A40="利息：取LPR",存贷款利率!G1,存贷款利率!G1+C40)</f>
        <v>3.1E-2</v>
      </c>
      <c r="C40" s="3140">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5.6000000000000001E-2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6.000000000000001E-3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7.0000000000000007E-2</v>
      </c>
      <c r="C44" s="2536" t="s">
        <v>3426</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2295</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2296</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2303</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2295</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2297</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2301</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mergeCells count="1">
    <mergeCell ref="K21:O21"/>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9" t="s">
        <v>2286</v>
      </c>
      <c r="B1" s="3230"/>
      <c r="C1" s="3230"/>
      <c r="D1" s="3230"/>
      <c r="E1" s="3230"/>
      <c r="F1" s="3230"/>
      <c r="G1" s="3230"/>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2281</v>
      </c>
      <c r="D2" s="1572"/>
      <c r="E2" s="2237"/>
      <c r="F2" s="2240"/>
      <c r="G2" s="2239" t="s">
        <v>2282</v>
      </c>
      <c r="H2" s="733"/>
      <c r="I2" s="733"/>
      <c r="J2" s="733"/>
      <c r="K2" s="733"/>
      <c r="L2" s="733"/>
      <c r="M2" s="733"/>
      <c r="N2" s="733"/>
      <c r="O2" s="733"/>
      <c r="P2" s="733"/>
      <c r="Q2" s="733"/>
    </row>
    <row r="3" spans="1:29" ht="48">
      <c r="A3" s="2224" t="s">
        <v>2283</v>
      </c>
      <c r="B3" s="2241" t="s">
        <v>2252</v>
      </c>
      <c r="C3" s="2242" t="s">
        <v>2284</v>
      </c>
      <c r="D3" s="2243"/>
      <c r="E3" s="2225" t="s">
        <v>2283</v>
      </c>
      <c r="F3" s="2244" t="s">
        <v>2253</v>
      </c>
      <c r="G3" s="2245" t="s">
        <v>2285</v>
      </c>
      <c r="H3" s="733"/>
      <c r="I3" s="733"/>
      <c r="J3" s="733"/>
      <c r="K3" s="733"/>
      <c r="L3" s="733"/>
      <c r="M3" s="733"/>
      <c r="N3" s="733"/>
      <c r="O3" s="733"/>
      <c r="P3" s="733"/>
      <c r="Q3" s="733"/>
    </row>
    <row r="4" spans="1:29" ht="36.75">
      <c r="A4" s="2225"/>
      <c r="B4" s="308" t="s">
        <v>2254</v>
      </c>
      <c r="C4" s="2246" t="s">
        <v>2255</v>
      </c>
      <c r="D4" s="2243"/>
      <c r="E4" s="2247"/>
      <c r="F4" s="1259" t="s">
        <v>2256</v>
      </c>
      <c r="G4" s="2248" t="s">
        <v>2257</v>
      </c>
      <c r="H4" s="733"/>
      <c r="I4" s="733"/>
      <c r="J4" s="733"/>
      <c r="K4" s="733"/>
      <c r="L4" s="733"/>
      <c r="M4" s="733"/>
      <c r="N4" s="733"/>
      <c r="O4" s="733"/>
      <c r="P4" s="733"/>
      <c r="Q4" s="733"/>
    </row>
    <row r="5" spans="1:29" ht="36.75">
      <c r="A5" s="2225"/>
      <c r="B5" s="308" t="s">
        <v>2258</v>
      </c>
      <c r="C5" s="2246" t="s">
        <v>2259</v>
      </c>
      <c r="D5" s="2243"/>
      <c r="E5" s="2247"/>
      <c r="F5" s="308" t="s">
        <v>2260</v>
      </c>
      <c r="G5" s="2248" t="s">
        <v>2261</v>
      </c>
      <c r="H5" s="733"/>
      <c r="I5" s="733"/>
      <c r="J5" s="733"/>
      <c r="K5" s="733"/>
      <c r="L5" s="733"/>
      <c r="M5" s="733"/>
      <c r="N5" s="733"/>
      <c r="O5" s="733"/>
      <c r="P5" s="733"/>
      <c r="Q5" s="733"/>
    </row>
    <row r="6" spans="1:29" ht="36">
      <c r="A6" s="2225"/>
      <c r="B6" s="308" t="s">
        <v>2262</v>
      </c>
      <c r="C6" s="2248" t="s">
        <v>2257</v>
      </c>
      <c r="D6" s="2243"/>
      <c r="E6" s="2247"/>
      <c r="F6" s="308" t="s">
        <v>2263</v>
      </c>
      <c r="G6" s="2248" t="s">
        <v>2264</v>
      </c>
      <c r="H6" s="733"/>
      <c r="I6" s="733"/>
      <c r="J6" s="733"/>
      <c r="K6" s="733"/>
      <c r="L6" s="733"/>
      <c r="M6" s="733"/>
      <c r="N6" s="733"/>
      <c r="O6" s="733"/>
      <c r="P6" s="733"/>
      <c r="Q6" s="733"/>
    </row>
    <row r="7" spans="1:29" ht="24.75" thickBot="1">
      <c r="A7" s="2225"/>
      <c r="B7" s="308" t="s">
        <v>2260</v>
      </c>
      <c r="C7" s="2248" t="s">
        <v>2261</v>
      </c>
      <c r="D7" s="2222"/>
      <c r="E7" s="2249"/>
      <c r="F7" s="2250" t="s">
        <v>2265</v>
      </c>
      <c r="G7" s="2251" t="s">
        <v>2266</v>
      </c>
      <c r="H7" s="733"/>
      <c r="I7" s="733"/>
      <c r="J7" s="733"/>
      <c r="K7" s="733"/>
      <c r="L7" s="733"/>
      <c r="M7" s="733"/>
      <c r="N7" s="733"/>
      <c r="O7" s="733"/>
      <c r="P7" s="733"/>
      <c r="Q7" s="733"/>
    </row>
    <row r="8" spans="1:29">
      <c r="A8" s="2225"/>
      <c r="B8" s="308" t="s">
        <v>2263</v>
      </c>
      <c r="C8" s="2248" t="s">
        <v>2264</v>
      </c>
      <c r="D8" s="2222"/>
      <c r="E8" s="2222"/>
      <c r="F8" s="115"/>
      <c r="G8" s="115"/>
      <c r="H8" s="733"/>
      <c r="I8" s="733"/>
      <c r="J8" s="733"/>
      <c r="K8" s="733"/>
      <c r="L8" s="733"/>
      <c r="M8" s="733"/>
      <c r="N8" s="733"/>
      <c r="O8" s="733"/>
      <c r="P8" s="733"/>
      <c r="Q8" s="733"/>
    </row>
    <row r="9" spans="1:29" ht="24">
      <c r="A9" s="2225"/>
      <c r="B9" s="308" t="s">
        <v>2267</v>
      </c>
      <c r="C9" s="2246" t="s">
        <v>2268</v>
      </c>
      <c r="D9" s="2243"/>
      <c r="E9" s="2222"/>
      <c r="F9" s="115"/>
      <c r="G9" s="115"/>
      <c r="H9" s="733"/>
      <c r="I9" s="733"/>
      <c r="J9" s="733"/>
      <c r="K9" s="733"/>
      <c r="L9" s="733"/>
      <c r="M9" s="733"/>
      <c r="N9" s="733"/>
      <c r="O9" s="733"/>
      <c r="P9" s="733"/>
      <c r="Q9" s="733"/>
    </row>
    <row r="10" spans="1:29" ht="15" thickBot="1">
      <c r="A10" s="2226"/>
      <c r="B10" s="2252" t="s">
        <v>2269</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2287</v>
      </c>
      <c r="B13" s="2257"/>
      <c r="C13" s="2257"/>
      <c r="D13" s="2256"/>
      <c r="E13" s="2257"/>
      <c r="F13" s="2257"/>
      <c r="G13" s="2257"/>
    </row>
    <row r="14" spans="1:29" ht="15" thickBot="1">
      <c r="A14" s="2262"/>
      <c r="B14" s="2262"/>
      <c r="C14" s="2263" t="s">
        <v>2270</v>
      </c>
      <c r="D14" s="2243"/>
      <c r="E14" s="2264"/>
      <c r="F14" s="2264"/>
      <c r="G14" s="2239" t="s">
        <v>2271</v>
      </c>
    </row>
    <row r="15" spans="1:29" ht="51">
      <c r="A15" s="2227" t="s">
        <v>2272</v>
      </c>
      <c r="B15" s="2265" t="s">
        <v>2252</v>
      </c>
      <c r="C15" s="2266" t="str">
        <f>C3</f>
        <v>估价对象周边居住用地比例、居住小区规模和社区发展完善程度，综合评价居住社区成熟度一般</v>
      </c>
      <c r="D15" s="2243"/>
      <c r="E15" s="2228" t="s">
        <v>2273</v>
      </c>
      <c r="F15" s="2265" t="s">
        <v>2274</v>
      </c>
      <c r="G15" s="2267" t="str">
        <f>G3</f>
        <v>估价对象位于XX开发区，园区建设成熟度XX，产业集聚程度XX</v>
      </c>
    </row>
    <row r="16" spans="1:29" ht="38.25">
      <c r="A16" s="2229"/>
      <c r="B16" s="2268" t="s">
        <v>2254</v>
      </c>
      <c r="C16" s="2269" t="str">
        <f>C4</f>
        <v>估价对象位于XX商圈，周边商业氛围成熟，人流量大，商业繁华度好</v>
      </c>
      <c r="D16" s="2243"/>
      <c r="E16" s="2230"/>
      <c r="F16" s="2270" t="s">
        <v>2256</v>
      </c>
      <c r="G16" s="2271" t="str">
        <f>G4</f>
        <v>估价对象周边道路状况、公共交通通达情况、停车便捷程度，综合评价交通便捷度较好</v>
      </c>
    </row>
    <row r="17" spans="1:17" ht="38.25">
      <c r="A17" s="2229"/>
      <c r="B17" s="2268" t="s">
        <v>2258</v>
      </c>
      <c r="C17" s="2269" t="str">
        <f>C5</f>
        <v>估价对象位于XX商圈，周边办公楼项目较多，入驻率高，办公集聚程度较好</v>
      </c>
      <c r="D17" s="2222"/>
      <c r="E17" s="2230"/>
      <c r="F17" s="2270" t="s">
        <v>2275</v>
      </c>
      <c r="G17" s="2272"/>
    </row>
    <row r="18" spans="1:17" ht="38.25">
      <c r="A18" s="2229"/>
      <c r="B18" s="2270" t="s">
        <v>2262</v>
      </c>
      <c r="C18" s="2271" t="str">
        <f>C6</f>
        <v>估价对象周边道路状况、公共交通通达情况、停车便捷程度，综合评价交通便捷度较好</v>
      </c>
      <c r="D18" s="2222"/>
      <c r="E18" s="2230"/>
      <c r="F18" s="2270" t="s">
        <v>2265</v>
      </c>
      <c r="G18" s="2271" t="str">
        <f>G7</f>
        <v>该园区内是否有污染型企业，绿化情况，卫生条件，整体环境状况判断</v>
      </c>
    </row>
    <row r="19" spans="1:17" ht="25.5">
      <c r="A19" s="2229"/>
      <c r="B19" s="2270" t="s">
        <v>2276</v>
      </c>
      <c r="C19" s="2272"/>
      <c r="D19" s="2243"/>
      <c r="E19" s="2230"/>
      <c r="F19" s="308" t="s">
        <v>2260</v>
      </c>
      <c r="G19" s="2271" t="str">
        <f>G5</f>
        <v>估价对象所在区域公共配套设施齐备情况</v>
      </c>
    </row>
    <row r="20" spans="1:17" ht="25.5">
      <c r="A20" s="2229"/>
      <c r="B20" s="2270" t="s">
        <v>2277</v>
      </c>
      <c r="C20" s="2269" t="str">
        <f>C9</f>
        <v>区域自然环境：；人文环境；综合评价环境状况一般</v>
      </c>
      <c r="D20" s="2222"/>
      <c r="E20" s="2230"/>
      <c r="F20" s="308" t="s">
        <v>2263</v>
      </c>
      <c r="G20" s="2271" t="str">
        <f>G6</f>
        <v>估价对象所在区域基础设施水平</v>
      </c>
    </row>
    <row r="21" spans="1:17" ht="25.5">
      <c r="A21" s="2229"/>
      <c r="B21" s="308" t="s">
        <v>2260</v>
      </c>
      <c r="C21" s="2271" t="str">
        <f>C7</f>
        <v>估价对象所在区域公共配套设施齐备情况</v>
      </c>
      <c r="D21" s="2243"/>
      <c r="E21" s="2230"/>
      <c r="F21" s="2270" t="s">
        <v>2278</v>
      </c>
      <c r="G21" s="2273"/>
    </row>
    <row r="22" spans="1:17" ht="13.5" customHeight="1">
      <c r="A22" s="2229"/>
      <c r="B22" s="308" t="s">
        <v>2263</v>
      </c>
      <c r="C22" s="2271" t="str">
        <f>C8</f>
        <v>估价对象所在区域基础设施水平</v>
      </c>
      <c r="D22" s="2243"/>
      <c r="E22" s="2230"/>
      <c r="F22" s="2270" t="s">
        <v>2269</v>
      </c>
      <c r="G22" s="2272"/>
    </row>
    <row r="23" spans="1:17" s="733" customFormat="1" ht="15" thickBot="1">
      <c r="A23" s="2229"/>
      <c r="B23" s="2270" t="s">
        <v>2278</v>
      </c>
      <c r="C23" s="2273"/>
      <c r="D23" s="1591"/>
      <c r="E23" s="2231"/>
      <c r="F23" s="2274" t="s">
        <v>2279</v>
      </c>
      <c r="G23" s="2275"/>
      <c r="H23" s="2254"/>
      <c r="I23" s="2254"/>
      <c r="J23" s="2254"/>
      <c r="K23" s="2254"/>
      <c r="L23" s="2254"/>
      <c r="M23" s="2254"/>
      <c r="N23" s="2254"/>
      <c r="O23" s="2254"/>
      <c r="P23" s="2254"/>
      <c r="Q23" s="2254"/>
    </row>
    <row r="24" spans="1:17" s="733" customFormat="1" ht="15" thickBot="1">
      <c r="A24" s="2232"/>
      <c r="B24" s="2274" t="s">
        <v>2280</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45" sqref="D45"/>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6647.2</v>
      </c>
      <c r="C1" s="2436"/>
      <c r="D1" s="2436"/>
      <c r="E1" s="2436"/>
      <c r="F1" s="2436"/>
      <c r="G1" s="2437"/>
      <c r="H1" s="2437"/>
      <c r="I1" s="2437"/>
      <c r="J1" s="2437"/>
      <c r="K1" s="2437"/>
    </row>
    <row r="2" spans="1:11" ht="16.5">
      <c r="A2" s="2277" t="s">
        <v>653</v>
      </c>
      <c r="B2" s="2277">
        <f>SUM(C14:C23)</f>
        <v>6544.93</v>
      </c>
      <c r="C2" s="2436"/>
      <c r="D2" s="2436"/>
      <c r="E2" s="2436"/>
      <c r="F2" s="2436"/>
      <c r="G2" s="2437"/>
      <c r="H2" s="2437"/>
      <c r="I2" s="2437"/>
      <c r="J2" s="2437"/>
      <c r="K2" s="2437"/>
    </row>
    <row r="3" spans="1:11" ht="16.5">
      <c r="A3" s="2277" t="s">
        <v>662</v>
      </c>
      <c r="B3" s="2279">
        <f>项目基本情况!D3</f>
        <v>45695</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4511</v>
      </c>
      <c r="C5" s="2277">
        <f ca="1">IF(B5=D14,结果表!H102,ROUND(B5*10000/$B$1,0))</f>
        <v>6786</v>
      </c>
      <c r="D5" s="2277">
        <f ca="1">ROUND(B5*10000/$B$2,0)</f>
        <v>6892</v>
      </c>
      <c r="E5" s="2436"/>
      <c r="F5" s="2437"/>
      <c r="G5" s="2437"/>
      <c r="H5" s="2437"/>
      <c r="I5" s="2437"/>
      <c r="J5" s="2437"/>
      <c r="K5" s="2437"/>
    </row>
    <row r="6" spans="1:11" ht="16.5">
      <c r="A6" s="2277" t="s">
        <v>656</v>
      </c>
      <c r="B6" s="2277">
        <f ca="1">SUM(G14:G23)</f>
        <v>4511</v>
      </c>
      <c r="C6" s="2277">
        <f ca="1">IF(B6=G14,结果表!H108,ROUND(B6*10000/$B$1,0))</f>
        <v>6786</v>
      </c>
      <c r="D6" s="2277">
        <f ca="1">ROUND(B6*10000/$B$2,0)</f>
        <v>6892</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3354</v>
      </c>
      <c r="D10" s="2277" t="s">
        <v>3355</v>
      </c>
      <c r="E10" s="3108"/>
      <c r="F10" s="3112" t="s">
        <v>3356</v>
      </c>
      <c r="G10" s="3109"/>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 xml:space="preserve"> '数据-汇总表'!E3</f>
        <v>6647.2</v>
      </c>
      <c r="C14" s="2283">
        <f>'数据-汇总表'!D3</f>
        <v>6544.93</v>
      </c>
      <c r="D14" s="2283">
        <f ca="1">结果表!G19</f>
        <v>4511</v>
      </c>
      <c r="E14" s="2283">
        <f ca="1">ROUND(D14*10000/B14,0)</f>
        <v>6786</v>
      </c>
      <c r="F14" s="2283">
        <f ca="1">ROUND(D14*10000/C14,0)</f>
        <v>6892</v>
      </c>
      <c r="G14" s="2283">
        <f ca="1">D14</f>
        <v>4511</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3" zoomScaleNormal="100" zoomScaleSheetLayoutView="100" zoomScalePageLayoutView="80" workbookViewId="0">
      <selection activeCell="G19" sqref="G19"/>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t="s">
        <v>3</v>
      </c>
      <c r="D1" s="636"/>
      <c r="E1" s="636"/>
      <c r="F1" s="1598" t="s">
        <v>1263</v>
      </c>
      <c r="G1" s="1431" t="s">
        <v>3405</v>
      </c>
      <c r="H1" s="1598" t="str">
        <f>IF(G1="现房","——","估价对象范围")</f>
        <v>——</v>
      </c>
      <c r="I1" s="1599" t="s">
        <v>3406</v>
      </c>
    </row>
    <row r="2" spans="1:12" ht="21.75" customHeight="1" thickBot="1">
      <c r="A2" s="3265" t="str">
        <f>项目基本情况!S2</f>
        <v>北京市房地产</v>
      </c>
      <c r="B2" s="3266"/>
      <c r="C2" s="3266"/>
      <c r="D2" s="3266"/>
      <c r="E2" s="3266"/>
      <c r="F2" s="3266"/>
      <c r="G2" s="3266"/>
      <c r="H2" s="3266"/>
      <c r="I2" s="3267"/>
    </row>
    <row r="3" spans="1:12" ht="12.75">
      <c r="A3" s="3269" t="s">
        <v>1264</v>
      </c>
      <c r="B3" s="3270"/>
      <c r="C3" s="3270"/>
      <c r="D3" s="3270"/>
      <c r="E3" s="3270"/>
      <c r="F3" s="3270"/>
      <c r="G3" s="3270"/>
      <c r="H3" s="3270"/>
      <c r="I3" s="3270"/>
    </row>
    <row r="4" spans="1:12" ht="14.25">
      <c r="A4" s="1601" t="s">
        <v>1265</v>
      </c>
      <c r="B4" s="1602" t="s">
        <v>1266</v>
      </c>
      <c r="C4" s="1603" t="s">
        <v>3404</v>
      </c>
      <c r="D4" s="1603" t="s">
        <v>3400</v>
      </c>
      <c r="E4" s="3271" t="s">
        <v>1267</v>
      </c>
      <c r="F4" s="3272"/>
      <c r="G4" s="3272"/>
      <c r="H4" s="3272"/>
      <c r="I4" s="3273"/>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45" t="s">
        <v>1268</v>
      </c>
      <c r="B5" s="3232">
        <v>25</v>
      </c>
      <c r="C5" s="3248"/>
      <c r="D5" s="3268"/>
      <c r="E5" s="117" t="s">
        <v>1269</v>
      </c>
      <c r="F5" s="1604"/>
      <c r="G5" s="1604"/>
      <c r="H5" s="1604"/>
      <c r="I5" s="1259"/>
    </row>
    <row r="6" spans="1:12" ht="12.75">
      <c r="A6" s="3245"/>
      <c r="B6" s="3232"/>
      <c r="C6" s="3249"/>
      <c r="D6" s="3268"/>
      <c r="E6" s="117" t="s">
        <v>1270</v>
      </c>
      <c r="F6" s="1604"/>
      <c r="G6" s="1604"/>
      <c r="H6" s="1604"/>
      <c r="I6" s="1259"/>
    </row>
    <row r="7" spans="1:12" ht="12.75">
      <c r="A7" s="3245"/>
      <c r="B7" s="3232"/>
      <c r="C7" s="3250"/>
      <c r="D7" s="3268"/>
      <c r="E7" s="117" t="s">
        <v>1271</v>
      </c>
      <c r="F7" s="1604"/>
      <c r="G7" s="1604"/>
      <c r="H7" s="1604"/>
      <c r="I7" s="1259"/>
    </row>
    <row r="8" spans="1:12" ht="12.75">
      <c r="A8" s="3245" t="s">
        <v>1272</v>
      </c>
      <c r="B8" s="3232">
        <v>15</v>
      </c>
      <c r="C8" s="3248"/>
      <c r="D8" s="3268"/>
      <c r="E8" s="117" t="s">
        <v>1273</v>
      </c>
      <c r="F8" s="1604"/>
      <c r="G8" s="1604"/>
      <c r="H8" s="1604"/>
      <c r="I8" s="1259"/>
    </row>
    <row r="9" spans="1:12" ht="12.75">
      <c r="A9" s="3245"/>
      <c r="B9" s="3232"/>
      <c r="C9" s="3250"/>
      <c r="D9" s="3268"/>
      <c r="E9" s="117" t="s">
        <v>1274</v>
      </c>
      <c r="F9" s="1604"/>
      <c r="G9" s="1604"/>
      <c r="H9" s="1604"/>
      <c r="I9" s="1259"/>
    </row>
    <row r="10" spans="1:12" ht="12.75">
      <c r="A10" s="3245" t="s">
        <v>1275</v>
      </c>
      <c r="B10" s="3232">
        <v>15</v>
      </c>
      <c r="C10" s="3248"/>
      <c r="D10" s="3268"/>
      <c r="E10" s="117" t="s">
        <v>1276</v>
      </c>
      <c r="F10" s="1604"/>
      <c r="G10" s="1604"/>
      <c r="H10" s="1604"/>
      <c r="I10" s="1259"/>
    </row>
    <row r="11" spans="1:12" ht="12.75">
      <c r="A11" s="3245"/>
      <c r="B11" s="3232"/>
      <c r="C11" s="3250"/>
      <c r="D11" s="3268"/>
      <c r="E11" s="117" t="s">
        <v>1277</v>
      </c>
      <c r="F11" s="1604"/>
      <c r="G11" s="1604"/>
      <c r="H11" s="1604"/>
      <c r="I11" s="1259"/>
    </row>
    <row r="12" spans="1:12" ht="12.75">
      <c r="A12" s="3245" t="s">
        <v>1278</v>
      </c>
      <c r="B12" s="3232">
        <v>15</v>
      </c>
      <c r="C12" s="3248"/>
      <c r="D12" s="3268"/>
      <c r="E12" s="117" t="s">
        <v>1279</v>
      </c>
      <c r="F12" s="1604"/>
      <c r="G12" s="1604"/>
      <c r="H12" s="1604"/>
      <c r="I12" s="1259"/>
    </row>
    <row r="13" spans="1:12" ht="12.75">
      <c r="A13" s="3245"/>
      <c r="B13" s="3232"/>
      <c r="C13" s="3250"/>
      <c r="D13" s="3268"/>
      <c r="E13" s="117" t="s">
        <v>1280</v>
      </c>
      <c r="F13" s="1604"/>
      <c r="G13" s="1604"/>
      <c r="H13" s="1604"/>
      <c r="I13" s="1259"/>
    </row>
    <row r="14" spans="1:12" ht="12.75">
      <c r="A14" s="3245" t="s">
        <v>1281</v>
      </c>
      <c r="B14" s="3232">
        <v>30</v>
      </c>
      <c r="C14" s="3248">
        <v>4</v>
      </c>
      <c r="D14" s="3268">
        <v>6</v>
      </c>
      <c r="E14" s="117" t="s">
        <v>1282</v>
      </c>
      <c r="F14" s="1604"/>
      <c r="G14" s="1604"/>
      <c r="H14" s="1604"/>
      <c r="I14" s="1259"/>
    </row>
    <row r="15" spans="1:12" ht="12.75">
      <c r="A15" s="3245"/>
      <c r="B15" s="3232"/>
      <c r="C15" s="3249"/>
      <c r="D15" s="3268"/>
      <c r="E15" s="117" t="s">
        <v>1283</v>
      </c>
      <c r="F15" s="1604"/>
      <c r="G15" s="1604"/>
      <c r="H15" s="1604"/>
      <c r="I15" s="1259"/>
    </row>
    <row r="16" spans="1:12" ht="12.75">
      <c r="A16" s="3245"/>
      <c r="B16" s="3232"/>
      <c r="C16" s="3250"/>
      <c r="D16" s="3268"/>
      <c r="E16" s="117" t="s">
        <v>1284</v>
      </c>
      <c r="F16" s="1604"/>
      <c r="G16" s="1604"/>
      <c r="H16" s="1604"/>
      <c r="I16" s="1259"/>
    </row>
    <row r="17" spans="1:36" ht="15">
      <c r="A17" s="1605" t="s">
        <v>1285</v>
      </c>
      <c r="B17" s="54"/>
      <c r="C17" s="118">
        <f>SUM(C5:C16)</f>
        <v>4</v>
      </c>
      <c r="D17" s="118">
        <f>SUM(D5:D16)</f>
        <v>6</v>
      </c>
      <c r="E17" s="115"/>
      <c r="F17" s="115"/>
      <c r="G17" s="115"/>
      <c r="H17" s="115"/>
      <c r="I17" s="115"/>
      <c r="K17" s="288"/>
      <c r="L17" s="288" t="s">
        <v>1286</v>
      </c>
      <c r="M17" s="288" t="s">
        <v>1287</v>
      </c>
    </row>
    <row r="18" spans="1:36" ht="31.9" customHeight="1" thickBot="1">
      <c r="A18" s="1606" t="s">
        <v>1288</v>
      </c>
      <c r="B18" s="1520"/>
      <c r="C18" s="119">
        <f>ROUND(C17/SUM(C17:D17),2)</f>
        <v>0.4</v>
      </c>
      <c r="D18" s="119">
        <f>1-C18</f>
        <v>0.6</v>
      </c>
      <c r="E18" s="3255" t="s">
        <v>2131</v>
      </c>
      <c r="F18" s="3256"/>
      <c r="G18" s="3256"/>
      <c r="H18" s="3256"/>
      <c r="I18" s="3256"/>
      <c r="K18" s="288" t="s">
        <v>1289</v>
      </c>
      <c r="L18" s="288">
        <f>IF(C1="",'数据-汇总表'!E3,SUMIF(项目类型,C1,'数据-汇总表'!E17:E26)+SUMIF(项目类型,C1,'数据-汇总表'!I17:I26))</f>
        <v>6647.2</v>
      </c>
      <c r="M18" s="288">
        <f>IF(C1="",'数据-汇总表'!E3,SUMIF(项目类型,C1,'数据-汇总表'!E17:E26))</f>
        <v>6647.2</v>
      </c>
    </row>
    <row r="19" spans="1:36" ht="15">
      <c r="A19" s="1607" t="s">
        <v>1290</v>
      </c>
      <c r="B19" s="1608" t="s">
        <v>1291</v>
      </c>
      <c r="C19" s="120">
        <f ca="1">SUMIF(INDIRECT("'"&amp;C4&amp;"'"&amp;"!A:A"),结果表!B19,INDIRECT("'"&amp;C4&amp;"'"&amp;"!B:B"))</f>
        <v>3720</v>
      </c>
      <c r="D19" s="121">
        <f ca="1">SUMIF(INDIRECT("'"&amp;D4&amp;"'"&amp;"!A:A"),结果表!B19,INDIRECT("'"&amp;D4&amp;"'"&amp;"!B:B"))</f>
        <v>5039</v>
      </c>
      <c r="E19" s="1607" t="s">
        <v>1292</v>
      </c>
      <c r="F19" s="1608" t="s">
        <v>1291</v>
      </c>
      <c r="G19" s="122">
        <f ca="1">ROUND(C19*$C$18+D19*$D$18,0)</f>
        <v>4511</v>
      </c>
      <c r="H19" s="1609" t="s">
        <v>1293</v>
      </c>
      <c r="I19" s="115"/>
      <c r="K19" s="288" t="s">
        <v>1294</v>
      </c>
      <c r="L19" s="288">
        <f>IF(C1="",'数据-汇总表'!D3,SUMIF(项目类型,C1,'数据-汇总表'!D17:D26)+SUMIF(项目类型,C1,'数据-汇总表'!H17:H27))</f>
        <v>6544.93</v>
      </c>
      <c r="M19" s="288">
        <f>IF(C1="",'数据-汇总表'!D3,SUMIF(项目类型,C1,'数据-汇总表'!D17:D26))</f>
        <v>6544.93</v>
      </c>
    </row>
    <row r="20" spans="1:36" ht="15">
      <c r="A20" s="1610"/>
      <c r="B20" s="43" t="s">
        <v>1295</v>
      </c>
      <c r="C20" s="123">
        <f ca="1">SUMIF(INDIRECT("'"&amp;C4&amp;"'"&amp;"!A:A"),结果表!B20,INDIRECT("'"&amp;C4&amp;"'"&amp;"!B:B"))</f>
        <v>5596</v>
      </c>
      <c r="D20" s="124">
        <f ca="1">SUMIF(INDIRECT("'"&amp;D4&amp;"'"&amp;"!A:A"),结果表!B20,INDIRECT("'"&amp;D4&amp;"'"&amp;"!B:B"))</f>
        <v>7581</v>
      </c>
      <c r="E20" s="1610"/>
      <c r="F20" s="43" t="s">
        <v>1295</v>
      </c>
      <c r="G20" s="125">
        <f ca="1">ROUND(C20*$C$18+D20*$D$18,0)</f>
        <v>6787</v>
      </c>
      <c r="H20" s="742" t="s">
        <v>1296</v>
      </c>
      <c r="I20" s="115"/>
    </row>
    <row r="21" spans="1:36" ht="15" customHeight="1" thickBot="1">
      <c r="A21" s="442"/>
      <c r="B21" s="93" t="s">
        <v>1297</v>
      </c>
      <c r="C21" s="668">
        <f ca="1">ROUND(C19*10000/L19,0)</f>
        <v>5684</v>
      </c>
      <c r="D21" s="669">
        <f ca="1">ROUND(D19*10000/L19,0)</f>
        <v>7699</v>
      </c>
      <c r="E21" s="442"/>
      <c r="F21" s="93" t="s">
        <v>1297</v>
      </c>
      <c r="G21" s="126">
        <f ca="1">ROUND(G19*10000/L19,0)</f>
        <v>6892</v>
      </c>
      <c r="H21" s="1611" t="s">
        <v>1296</v>
      </c>
      <c r="I21" s="115"/>
    </row>
    <row r="22" spans="1:36" ht="15" thickBot="1">
      <c r="A22" s="1542" t="s">
        <v>1298</v>
      </c>
      <c r="B22" s="1612"/>
      <c r="C22" s="1613"/>
      <c r="D22" s="670">
        <f ca="1">IF(C19&lt;D19,D19/C19-1,C19/D19-1)</f>
        <v>0.35456989247311821</v>
      </c>
      <c r="E22" s="115"/>
      <c r="F22" s="115"/>
      <c r="G22" s="115"/>
      <c r="H22" s="115"/>
      <c r="I22" s="115"/>
    </row>
    <row r="23" spans="1:36" ht="13.5" thickBot="1">
      <c r="A23" s="636"/>
      <c r="B23" s="636"/>
      <c r="C23" s="636"/>
      <c r="D23" s="636"/>
      <c r="E23" s="115"/>
      <c r="F23" s="115"/>
      <c r="G23" s="115"/>
      <c r="H23" s="115"/>
      <c r="I23" s="115"/>
    </row>
    <row r="24" spans="1:36" ht="14.25">
      <c r="A24" s="3239" t="s">
        <v>1299</v>
      </c>
      <c r="B24" s="1608" t="s">
        <v>1291</v>
      </c>
      <c r="C24" s="122">
        <f>IF(B30=0,0,D30)</f>
        <v>0</v>
      </c>
      <c r="D24" s="1614"/>
      <c r="E24" s="115"/>
      <c r="F24" s="115"/>
      <c r="G24" s="115"/>
      <c r="H24" s="115"/>
      <c r="I24" s="115"/>
    </row>
    <row r="25" spans="1:36" ht="14.25">
      <c r="A25" s="3240"/>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2132</v>
      </c>
      <c r="F30" s="115"/>
      <c r="G30" s="115"/>
      <c r="H30" s="115"/>
      <c r="I30" s="115"/>
    </row>
    <row r="31" spans="1:36" s="2110" customFormat="1" ht="26.45" customHeight="1" thickTop="1" thickBot="1">
      <c r="A31" s="2105"/>
      <c r="B31" s="2106"/>
      <c r="C31" s="2106"/>
      <c r="D31" s="2106"/>
      <c r="E31" s="2106"/>
      <c r="F31" s="2106"/>
      <c r="G31" s="2106"/>
      <c r="H31" s="2106"/>
      <c r="I31" s="2107" t="s">
        <v>2133</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4511</v>
      </c>
      <c r="D32" s="1618" t="s">
        <v>3407</v>
      </c>
      <c r="E32" s="115"/>
      <c r="F32" s="115"/>
      <c r="G32" s="115"/>
      <c r="H32" s="115"/>
      <c r="I32" s="115"/>
    </row>
    <row r="33" spans="1:15" ht="15">
      <c r="A33" s="722" t="s">
        <v>1306</v>
      </c>
      <c r="B33" s="117"/>
      <c r="C33" s="1619" t="s">
        <v>3408</v>
      </c>
      <c r="D33" s="1620" t="s">
        <v>3404</v>
      </c>
      <c r="E33" s="1621" t="s">
        <v>1307</v>
      </c>
      <c r="F33" s="1622" t="str">
        <f>IF(D32="楼面单价","取值（单价）","取值（总价）")</f>
        <v>取值（总价）</v>
      </c>
      <c r="G33" s="115"/>
      <c r="H33" s="115"/>
      <c r="I33" s="115"/>
    </row>
    <row r="34" spans="1:15" ht="15">
      <c r="A34" s="1623"/>
      <c r="B34" s="1624" t="s">
        <v>1308</v>
      </c>
      <c r="C34" s="134">
        <f ca="1">IF(C33="自定义",F34,C32-C35)</f>
        <v>1859</v>
      </c>
      <c r="D34" s="788">
        <f ca="1">IF(C33="自定义",ROUND(C34/C32,3),IF(C33="收益比率",SUMIF(INDIRECT("'"&amp;D33&amp;"'"&amp;"!b:b"),"土地收益比率",INDIRECT("'"&amp;D33&amp;"'"&amp;"!c:c")),SUMIF(INDIRECT("'"&amp;D33&amp;"'"&amp;"!b:b"),"土地成本比率",INDIRECT("'"&amp;D33&amp;"'"&amp;"!c:c"))))</f>
        <v>0.41200000000000003</v>
      </c>
      <c r="E34" s="1625" t="s">
        <v>1309</v>
      </c>
      <c r="F34" s="1221"/>
      <c r="G34" s="115"/>
      <c r="H34" s="115"/>
      <c r="I34" s="115"/>
    </row>
    <row r="35" spans="1:15" ht="15.75" thickBot="1">
      <c r="A35" s="1626"/>
      <c r="B35" s="1627" t="s">
        <v>1310</v>
      </c>
      <c r="C35" s="1068">
        <f ca="1">IF(C33="自定义",F35,ROUND(C32*D35,0))</f>
        <v>2652</v>
      </c>
      <c r="D35" s="1069">
        <f ca="1">IF(C33="自定义",ROUND(C35/C32,3),IF(C33="收益比率",SUMIF(INDIRECT("'"&amp;D33&amp;"'"&amp;"!b:b"),"建筑物收益比率",INDIRECT("'"&amp;D33&amp;"'"&amp;"!c:c")),SUMIF(INDIRECT("'"&amp;D33&amp;"'"&amp;"!b:b"),"建筑物成本比率",INDIRECT("'"&amp;D33&amp;"'"&amp;"!c:c"))))</f>
        <v>0.58799999999999997</v>
      </c>
      <c r="E35" s="1628" t="s">
        <v>1311</v>
      </c>
      <c r="F35" s="140"/>
      <c r="G35" s="115"/>
      <c r="H35" s="115"/>
      <c r="I35" s="115"/>
    </row>
    <row r="36" spans="1:15" ht="15.75" thickBot="1">
      <c r="A36" s="3259" t="s">
        <v>1312</v>
      </c>
      <c r="B36" s="1629" t="s">
        <v>1313</v>
      </c>
      <c r="C36" s="131"/>
      <c r="D36" s="1630"/>
      <c r="E36" s="1545"/>
      <c r="F36" s="1631"/>
      <c r="G36" s="115"/>
      <c r="H36" s="115"/>
      <c r="I36" s="115"/>
    </row>
    <row r="37" spans="1:15" ht="15.75" thickBot="1">
      <c r="A37" s="3260"/>
      <c r="B37" s="1533" t="s">
        <v>1314</v>
      </c>
      <c r="C37" s="133"/>
      <c r="D37" s="1049"/>
      <c r="E37" s="1049"/>
      <c r="F37" s="1631"/>
      <c r="G37" s="115"/>
      <c r="H37" s="115"/>
      <c r="I37" s="115"/>
    </row>
    <row r="38" spans="1:15" ht="15.75" thickBot="1">
      <c r="A38" s="3261"/>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236" t="s">
        <v>1326</v>
      </c>
      <c r="B45" s="3237"/>
      <c r="C45" s="3238"/>
      <c r="D45" s="141">
        <f ca="1">ROUND(H101*F45,0)</f>
        <v>4511</v>
      </c>
      <c r="E45" s="142" t="s">
        <v>1327</v>
      </c>
      <c r="F45" s="143">
        <v>1</v>
      </c>
      <c r="G45" s="144" t="s">
        <v>1328</v>
      </c>
      <c r="H45" s="115"/>
      <c r="I45" s="115"/>
      <c r="J45" s="3314" t="s">
        <v>1329</v>
      </c>
      <c r="K45" s="3314"/>
      <c r="L45" s="3314"/>
      <c r="M45" s="3314"/>
      <c r="N45" s="3314"/>
      <c r="O45" s="3314"/>
    </row>
    <row r="46" spans="1:15" ht="14.25" customHeight="1">
      <c r="A46" s="3233" t="s">
        <v>1330</v>
      </c>
      <c r="B46" s="3234"/>
      <c r="C46" s="3234"/>
      <c r="D46" s="3234"/>
      <c r="E46" s="3234"/>
      <c r="F46" s="3234"/>
      <c r="G46" s="3235"/>
      <c r="H46" s="1645"/>
      <c r="I46" s="145"/>
      <c r="J46" s="2287">
        <v>1</v>
      </c>
      <c r="K46" s="3295" t="s">
        <v>1331</v>
      </c>
      <c r="L46" s="3295"/>
      <c r="M46" s="3315"/>
      <c r="N46" s="3315"/>
      <c r="O46" s="3315"/>
    </row>
    <row r="47" spans="1:15" ht="12" customHeight="1">
      <c r="A47" s="146" t="s">
        <v>1332</v>
      </c>
      <c r="B47" s="147"/>
      <c r="C47" s="148"/>
      <c r="D47" s="1002" t="s">
        <v>1333</v>
      </c>
      <c r="E47" s="288" t="s">
        <v>1334</v>
      </c>
      <c r="F47" s="149" t="s">
        <v>1335</v>
      </c>
      <c r="G47" s="2310" t="s">
        <v>1336</v>
      </c>
      <c r="H47" s="2311"/>
      <c r="I47" s="145"/>
      <c r="J47" s="2287">
        <v>2</v>
      </c>
      <c r="K47" s="3295" t="s">
        <v>1337</v>
      </c>
      <c r="L47" s="3295"/>
      <c r="M47" s="3316">
        <f>'数据-取费表'!B2</f>
        <v>45695</v>
      </c>
      <c r="N47" s="3316"/>
      <c r="O47" s="3316"/>
    </row>
    <row r="48" spans="1:15" ht="25.5">
      <c r="A48" s="3264" t="s">
        <v>1338</v>
      </c>
      <c r="B48" s="3247"/>
      <c r="C48" s="3247"/>
      <c r="D48" s="12" t="b">
        <f>IF(H48="情况1",0,IF(H48="情况2",D52,IF(H48="情况3",D53,IF(H48="情况4",D54))))</f>
        <v>0</v>
      </c>
      <c r="E48" s="1234" t="str">
        <f>IF(H48="情况4","(销售额-原购置价)×税（费）率","销售额×税（费）率")</f>
        <v>销售额×税（费）率</v>
      </c>
      <c r="F48" s="2312">
        <f>IF(H48="情况1","免征",'数据-取费表'!B41)</f>
        <v>5.6000000000000001E-2</v>
      </c>
      <c r="G48" s="2313" t="s">
        <v>1339</v>
      </c>
      <c r="H48" s="2314"/>
      <c r="I48" s="1645"/>
      <c r="J48" s="2287">
        <v>3</v>
      </c>
      <c r="K48" s="3295" t="s">
        <v>1340</v>
      </c>
      <c r="L48" s="3295"/>
      <c r="M48" s="3317">
        <f ca="1">H101</f>
        <v>4511</v>
      </c>
      <c r="N48" s="3317"/>
      <c r="O48" s="3317"/>
    </row>
    <row r="49" spans="1:35" ht="25.5" customHeight="1">
      <c r="A49" s="2129" t="s">
        <v>1341</v>
      </c>
      <c r="B49" s="3231" t="s">
        <v>1342</v>
      </c>
      <c r="C49" s="3231"/>
      <c r="D49" s="1456">
        <v>0</v>
      </c>
      <c r="E49" s="309" t="s">
        <v>1343</v>
      </c>
      <c r="F49" s="2210" t="s">
        <v>28</v>
      </c>
      <c r="G49" s="3301"/>
      <c r="H49" s="2111" t="s">
        <v>2134</v>
      </c>
      <c r="I49" s="2112"/>
      <c r="J49" s="2287">
        <v>4</v>
      </c>
      <c r="K49" s="3295" t="str">
        <f>IF(项目基本情况!E8="房地产抵押价值","房地产抵押价值","抵押担保权已注销时的房地产抵押价值")</f>
        <v>房地产抵押价值</v>
      </c>
      <c r="L49" s="3295"/>
      <c r="M49" s="3317">
        <f ca="1">IF(项目基本情况!E8="房地产抵押价值",H107,H109)</f>
        <v>4511</v>
      </c>
      <c r="N49" s="3317"/>
      <c r="O49" s="3317"/>
    </row>
    <row r="50" spans="1:35" ht="25.5" customHeight="1">
      <c r="A50" s="2315"/>
      <c r="B50" s="3231" t="s">
        <v>1344</v>
      </c>
      <c r="C50" s="3231"/>
      <c r="D50" s="2166"/>
      <c r="E50" s="316"/>
      <c r="F50" s="2210"/>
      <c r="G50" s="3302"/>
      <c r="H50" s="2113" t="s">
        <v>2135</v>
      </c>
      <c r="I50" s="2112"/>
      <c r="J50" s="3314" t="s">
        <v>1345</v>
      </c>
      <c r="K50" s="3314"/>
      <c r="L50" s="3314"/>
      <c r="M50" s="3314"/>
      <c r="N50" s="3314"/>
      <c r="O50" s="3314"/>
    </row>
    <row r="51" spans="1:35" ht="20.45" customHeight="1">
      <c r="A51" s="2316"/>
      <c r="B51" s="3231" t="s">
        <v>1346</v>
      </c>
      <c r="C51" s="3231"/>
      <c r="D51" s="1002"/>
      <c r="E51" s="312"/>
      <c r="F51" s="2210"/>
      <c r="G51" s="3303"/>
      <c r="H51" s="2113" t="s">
        <v>2136</v>
      </c>
      <c r="I51" s="2112"/>
      <c r="J51" s="2288" t="s">
        <v>1347</v>
      </c>
      <c r="K51" s="3295" t="s">
        <v>1348</v>
      </c>
      <c r="L51" s="3295"/>
      <c r="M51" s="2288" t="s">
        <v>1349</v>
      </c>
      <c r="N51" s="2288" t="s">
        <v>1350</v>
      </c>
      <c r="O51" s="2288" t="s">
        <v>1351</v>
      </c>
    </row>
    <row r="52" spans="1:35" ht="24" customHeight="1">
      <c r="A52" s="2130" t="s">
        <v>1352</v>
      </c>
      <c r="B52" s="3231" t="s">
        <v>1353</v>
      </c>
      <c r="C52" s="3231"/>
      <c r="D52" s="1002">
        <f ca="1">ROUND(D45*'数据-取费表'!B41/(1+'数据-取费表'!C42),0)</f>
        <v>241</v>
      </c>
      <c r="E52" s="1234" t="s">
        <v>1354</v>
      </c>
      <c r="F52" s="2317">
        <f>'数据-取费表'!B41</f>
        <v>5.6000000000000001E-2</v>
      </c>
      <c r="G52" s="2318"/>
      <c r="H52" s="2308"/>
      <c r="I52" s="1646"/>
      <c r="J52" s="2287">
        <v>1</v>
      </c>
      <c r="K52" s="3296" t="s">
        <v>1355</v>
      </c>
      <c r="L52" s="3296"/>
      <c r="M52" s="2289" t="b">
        <f>D48</f>
        <v>0</v>
      </c>
      <c r="N52" s="2287" t="str">
        <f>E48</f>
        <v>销售额×税（费）率</v>
      </c>
      <c r="O52" s="2290">
        <f>F48</f>
        <v>5.6000000000000001E-2</v>
      </c>
    </row>
    <row r="53" spans="1:35" ht="12" customHeight="1">
      <c r="A53" s="2130" t="s">
        <v>1356</v>
      </c>
      <c r="B53" s="3257" t="s">
        <v>2291</v>
      </c>
      <c r="C53" s="3258"/>
      <c r="D53" s="1002">
        <f ca="1">ROUND(D45*'数据-取费表'!B41/(1+'数据-取费表'!C42),0)</f>
        <v>241</v>
      </c>
      <c r="E53" s="1234" t="s">
        <v>1354</v>
      </c>
      <c r="F53" s="2317">
        <f>'数据-取费表'!B41</f>
        <v>5.6000000000000001E-2</v>
      </c>
      <c r="G53" s="2318"/>
      <c r="H53" s="2308"/>
      <c r="I53" s="1646"/>
      <c r="J53" s="2287">
        <v>2</v>
      </c>
      <c r="K53" s="3296" t="s">
        <v>1357</v>
      </c>
      <c r="L53" s="3296"/>
      <c r="M53" s="2289">
        <f t="shared" ref="M53:O54" ca="1" si="0">D55</f>
        <v>2</v>
      </c>
      <c r="N53" s="2287" t="str">
        <f t="shared" si="0"/>
        <v>销售额×税（费）率</v>
      </c>
      <c r="O53" s="2290" t="str">
        <f t="shared" si="0"/>
        <v>免征</v>
      </c>
    </row>
    <row r="54" spans="1:35" ht="12" customHeight="1">
      <c r="A54" s="2130" t="s">
        <v>1358</v>
      </c>
      <c r="B54" s="3257" t="s">
        <v>2292</v>
      </c>
      <c r="C54" s="3258"/>
      <c r="D54" s="1002">
        <f ca="1">C68</f>
        <v>241</v>
      </c>
      <c r="E54" s="312" t="s">
        <v>1359</v>
      </c>
      <c r="F54" s="2317">
        <f>'数据-取费表'!B41</f>
        <v>5.6000000000000001E-2</v>
      </c>
      <c r="G54" s="2318"/>
      <c r="H54" s="2319"/>
      <c r="I54" s="1646"/>
      <c r="J54" s="2287">
        <v>3</v>
      </c>
      <c r="K54" s="3296" t="s">
        <v>1360</v>
      </c>
      <c r="L54" s="3296"/>
      <c r="M54" s="2289">
        <f t="shared" ca="1" si="0"/>
        <v>2553</v>
      </c>
      <c r="N54" s="2287" t="str">
        <f t="shared" si="0"/>
        <v>增值额×税（费）率</v>
      </c>
      <c r="O54" s="2291" t="str">
        <f t="shared" si="0"/>
        <v>免征</v>
      </c>
    </row>
    <row r="55" spans="1:35" ht="24" customHeight="1">
      <c r="A55" s="3246" t="s">
        <v>1361</v>
      </c>
      <c r="B55" s="3247"/>
      <c r="C55" s="3247"/>
      <c r="D55" s="12">
        <f ca="1">IF(H55="个人住宅",0,ROUND(D45*I55,0))</f>
        <v>2</v>
      </c>
      <c r="E55" s="1234" t="s">
        <v>1362</v>
      </c>
      <c r="F55" s="2317" t="str">
        <f>IF(H55="正常",I55,"免征")</f>
        <v>免征</v>
      </c>
      <c r="G55" s="2318"/>
      <c r="H55" s="2314"/>
      <c r="I55" s="151">
        <f>'数据-取费表'!B49</f>
        <v>5.0000000000000001E-4</v>
      </c>
      <c r="J55" s="2287">
        <f>IF(H59="非个人房产","",4)</f>
        <v>4</v>
      </c>
      <c r="K55" s="3296" t="str">
        <f>IF(H59="非个人房产","——","个人所得税")</f>
        <v>个人所得税</v>
      </c>
      <c r="L55" s="3296"/>
      <c r="M55" s="2292">
        <f ca="1">D59</f>
        <v>43</v>
      </c>
      <c r="N55" s="1860" t="str">
        <f>E59</f>
        <v>差额计税</v>
      </c>
      <c r="O55" s="2293">
        <f>F59</f>
        <v>0.01</v>
      </c>
    </row>
    <row r="56" spans="1:35" ht="24.75">
      <c r="A56" s="3246" t="s">
        <v>1363</v>
      </c>
      <c r="B56" s="3247"/>
      <c r="C56" s="3247"/>
      <c r="D56" s="12">
        <f ca="1">IF(H56="个人住宅",D57,D58)</f>
        <v>2553</v>
      </c>
      <c r="E56" s="1234" t="s">
        <v>1364</v>
      </c>
      <c r="F56" s="2317" t="str">
        <f>IF(H56="正常",F58,"免征")</f>
        <v>免征</v>
      </c>
      <c r="G56" s="2320" t="s">
        <v>1365</v>
      </c>
      <c r="H56" s="2321"/>
      <c r="I56" s="1647"/>
      <c r="J56" s="2287" t="str">
        <f>IF(项目基本情况!K6="上海银行",IF(J55="",4,J55+1),"")</f>
        <v/>
      </c>
      <c r="K56" s="3319" t="str">
        <f>IF(项目基本情况!K6="上海银行","其他处置费用","")</f>
        <v/>
      </c>
      <c r="L56" s="3320"/>
      <c r="M56" s="2289" t="str">
        <f>IF(项目基本情况!K6="上海银行",M69,"")</f>
        <v/>
      </c>
      <c r="N56" s="3319" t="str">
        <f>IF(项目基本情况!K6="上海银行","包含处置中涉及的律师、诉讼、拍卖、评估等费用","")</f>
        <v/>
      </c>
      <c r="O56" s="3322"/>
    </row>
    <row r="57" spans="1:35" ht="12.75">
      <c r="A57" s="2130" t="s">
        <v>1341</v>
      </c>
      <c r="B57" s="3257" t="s">
        <v>1366</v>
      </c>
      <c r="C57" s="3258"/>
      <c r="D57" s="1456">
        <v>0</v>
      </c>
      <c r="E57" s="309" t="s">
        <v>1343</v>
      </c>
      <c r="F57" s="288"/>
      <c r="G57" s="2318"/>
      <c r="H57" s="2322"/>
      <c r="I57" s="1647"/>
      <c r="J57" s="3296">
        <f>IF(AND(J55="",J56=""),4,IF(项目基本情况!K6="上海银行",结果表!J56+1,结果表!J55+1))</f>
        <v>5</v>
      </c>
      <c r="K57" s="3296" t="s">
        <v>1367</v>
      </c>
      <c r="L57" s="2294" t="s">
        <v>1368</v>
      </c>
      <c r="M57" s="2295"/>
      <c r="N57" s="2296">
        <f ca="1">SUMIF(M52:M56,"&lt;9e307")</f>
        <v>2598</v>
      </c>
      <c r="O57" s="2297"/>
      <c r="P57" s="2439">
        <f ca="1">N57/M49</f>
        <v>0.57592551540678338</v>
      </c>
    </row>
    <row r="58" spans="1:35" ht="24.75">
      <c r="A58" s="2130" t="s">
        <v>1352</v>
      </c>
      <c r="B58" s="3257" t="s">
        <v>1369</v>
      </c>
      <c r="C58" s="3231"/>
      <c r="D58" s="12">
        <f ca="1">IF(H58="转让取得",C81,C97)</f>
        <v>2553</v>
      </c>
      <c r="E58" s="1234" t="s">
        <v>1364</v>
      </c>
      <c r="F58" s="288" t="s">
        <v>28</v>
      </c>
      <c r="G58" s="2318"/>
      <c r="H58" s="2321"/>
      <c r="I58" s="1647"/>
      <c r="J58" s="3296"/>
      <c r="K58" s="3296"/>
      <c r="L58" s="2294" t="s">
        <v>1370</v>
      </c>
      <c r="M58" s="2298"/>
      <c r="N58" s="2299" t="str">
        <f ca="1">NUMBERSTRING(INT(N57*10000),2)&amp;"元整"</f>
        <v>贰仟伍佰玖拾捌万元整</v>
      </c>
      <c r="O58" s="2300"/>
    </row>
    <row r="59" spans="1:35" ht="24.75" thickBot="1">
      <c r="A59" s="3299" t="s">
        <v>1371</v>
      </c>
      <c r="B59" s="3300"/>
      <c r="C59" s="3300"/>
      <c r="D59" s="2323">
        <f ca="1">IF(H59="非个人房产","——",IF(H59="个人住宅（满五唯一有凭证）",0,IF(H59="个人其他（无凭证）",ROUND(D45*F59,0),ROUND(C67*F59,0))))</f>
        <v>43</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2137</v>
      </c>
      <c r="J59" s="3297">
        <f>J57+1</f>
        <v>6</v>
      </c>
      <c r="K59" s="3296" t="s">
        <v>1372</v>
      </c>
      <c r="L59" s="2287" t="s">
        <v>1368</v>
      </c>
      <c r="M59" s="2301"/>
      <c r="N59" s="2302">
        <f ca="1">M49-N57</f>
        <v>1913</v>
      </c>
      <c r="O59" s="2303"/>
    </row>
    <row r="60" spans="1:35" ht="12" customHeight="1">
      <c r="A60" s="1648"/>
      <c r="B60" s="636"/>
      <c r="C60" s="636"/>
      <c r="D60" s="636"/>
      <c r="E60" s="1444"/>
      <c r="F60" s="1647"/>
      <c r="G60" s="1647"/>
      <c r="H60" s="145"/>
      <c r="I60" s="115"/>
      <c r="J60" s="3298"/>
      <c r="K60" s="3296"/>
      <c r="L60" s="2294" t="s">
        <v>1370</v>
      </c>
      <c r="M60" s="2298"/>
      <c r="N60" s="2299" t="str">
        <f ca="1">NUMBERSTRING(INT(N59*10000),2)&amp;"元整"</f>
        <v>壹仟玖佰壹拾叁万元整</v>
      </c>
      <c r="O60" s="2300"/>
    </row>
    <row r="61" spans="1:35" ht="13.5" thickBot="1">
      <c r="A61" s="3244" t="s">
        <v>1373</v>
      </c>
      <c r="B61" s="3244"/>
      <c r="C61" s="3244"/>
      <c r="D61" s="3244"/>
      <c r="E61" s="3244"/>
      <c r="F61" s="1647"/>
      <c r="G61" s="1647"/>
      <c r="H61" s="145"/>
      <c r="I61" s="115"/>
      <c r="J61" s="2287">
        <f>J59+1</f>
        <v>7</v>
      </c>
      <c r="K61" s="3296" t="s">
        <v>1374</v>
      </c>
      <c r="L61" s="3296"/>
      <c r="M61" s="2304"/>
      <c r="N61" s="2305">
        <f ca="1">ROUND(N59*10000/'数据-汇总表'!E3,0)</f>
        <v>2878</v>
      </c>
      <c r="O61" s="2306"/>
    </row>
    <row r="62" spans="1:35" ht="12.75">
      <c r="A62" s="3262" t="s">
        <v>1375</v>
      </c>
      <c r="B62" s="3263"/>
      <c r="C62" s="1842"/>
      <c r="D62" s="1842" t="s">
        <v>1376</v>
      </c>
      <c r="E62" s="152" t="s">
        <v>1377</v>
      </c>
      <c r="F62" s="1647"/>
      <c r="G62" s="1647"/>
      <c r="H62" s="145"/>
      <c r="I62" s="115"/>
    </row>
    <row r="63" spans="1:35" ht="12.75">
      <c r="A63" s="159" t="s">
        <v>330</v>
      </c>
      <c r="B63" s="153" t="s">
        <v>1378</v>
      </c>
      <c r="C63" s="2327">
        <f ca="1">ROUND((C64+C65)/(1+'数据-取费表'!C42),0)</f>
        <v>4296</v>
      </c>
      <c r="D63" s="153"/>
      <c r="E63" s="154"/>
      <c r="F63" s="1647"/>
      <c r="G63" s="1647"/>
      <c r="H63" s="145"/>
      <c r="I63" s="115"/>
      <c r="J63" s="3321" t="s">
        <v>1379</v>
      </c>
      <c r="K63" s="1223" t="s">
        <v>1380</v>
      </c>
      <c r="L63" s="1223">
        <f ca="1">IF(M49&gt;10000,M49*0.5%,IF(AND(M49&gt;1000,M49&lt;=10000),M49*1%,IF(AND(M49&gt;100,M49&lt;=1000),M49*3%,IF(AND(M49&gt;10,M49&lt;=100),M49*5%,M49*8%))))</f>
        <v>45.11</v>
      </c>
      <c r="M63" s="288">
        <f ca="1">ROUND(L63,1)</f>
        <v>45.1</v>
      </c>
      <c r="N63" s="2307"/>
      <c r="Z63" s="1600"/>
      <c r="AI63" s="1539"/>
    </row>
    <row r="64" spans="1:35" ht="14.25" customHeight="1">
      <c r="A64" s="155" t="s">
        <v>325</v>
      </c>
      <c r="B64" s="156" t="s">
        <v>1381</v>
      </c>
      <c r="C64" s="2328">
        <f ca="1">D45</f>
        <v>4511</v>
      </c>
      <c r="D64" s="156" t="s">
        <v>26</v>
      </c>
      <c r="E64" s="158"/>
      <c r="F64" s="1647"/>
      <c r="G64" s="1647"/>
      <c r="H64" s="145"/>
      <c r="I64" s="115"/>
      <c r="J64" s="3321"/>
      <c r="K64" s="1223" t="s">
        <v>1382</v>
      </c>
      <c r="L64" s="1223">
        <f ca="1">IF(M49&gt;2000,M49*0.5%,IF(AND(M49&gt;1000,M49&lt;=2000),M49*0.6%,IF(AND(M49&gt;500,M49&lt;=1000),M49*0.7%,IF(AND(M49&gt;200,M49&lt;=500),M49*0.8%,IF(AND(M49&gt;100,M49&lt;=200),M49*0.9%,IF(AND(M49&gt;50,M49&lt;=100),M49*1%,IF(AND(M49&gt;20,M49&lt;=50),M49*1.5%,IF(AND(M49&gt;10,M49&lt;=20),M49*2%,IF(AND(M49&gt;1,M49&lt;=10),M49*2.5%)))))))))</f>
        <v>22.555</v>
      </c>
      <c r="M64" s="288">
        <f t="shared" ref="M64:M65" ca="1" si="1">ROUND(L64,1)</f>
        <v>22.6</v>
      </c>
      <c r="N64" s="2308" t="s">
        <v>1383</v>
      </c>
      <c r="Z64" s="1600"/>
      <c r="AI64" s="1539"/>
    </row>
    <row r="65" spans="1:35" ht="14.25" customHeight="1">
      <c r="A65" s="155" t="s">
        <v>326</v>
      </c>
      <c r="B65" s="156" t="s">
        <v>1384</v>
      </c>
      <c r="C65" s="2329"/>
      <c r="D65" s="156"/>
      <c r="E65" s="158"/>
      <c r="F65" s="1647"/>
      <c r="G65" s="1647"/>
      <c r="H65" s="145"/>
      <c r="I65" s="115"/>
      <c r="J65" s="3321"/>
      <c r="K65" s="1223" t="s">
        <v>1385</v>
      </c>
      <c r="L65" s="1223">
        <f ca="1">IF(M49&gt;1000,M49*0.1%,IF(AND(M49&gt;500,M49&lt;=1000),M49*0.5%,IF(AND(M49&gt;50,M49&lt;=500),M49*1%,IF(AND(M49&gt;1,M49&lt;=50),M49*1.5%))))</f>
        <v>4.5110000000000001</v>
      </c>
      <c r="M65" s="288">
        <f t="shared" ca="1" si="1"/>
        <v>4.5</v>
      </c>
      <c r="N65" s="2308" t="s">
        <v>1383</v>
      </c>
      <c r="Z65" s="1600"/>
      <c r="AI65" s="1539"/>
    </row>
    <row r="66" spans="1:35" ht="14.25" customHeight="1">
      <c r="A66" s="159" t="s">
        <v>327</v>
      </c>
      <c r="B66" s="160" t="s">
        <v>1386</v>
      </c>
      <c r="C66" s="2330"/>
      <c r="D66" s="160" t="s">
        <v>26</v>
      </c>
      <c r="E66" s="1229" t="s">
        <v>671</v>
      </c>
      <c r="F66" s="1647"/>
      <c r="G66" s="1647"/>
      <c r="H66" s="145"/>
      <c r="I66" s="115"/>
      <c r="J66" s="3321"/>
      <c r="K66" s="1223" t="s">
        <v>1387</v>
      </c>
      <c r="L66" s="1223">
        <f ca="1">M49*0.5%</f>
        <v>22.555</v>
      </c>
      <c r="M66" s="288">
        <f ca="1">IF(L66&gt;0.5,0.5,ROUND(L66,0))</f>
        <v>0.5</v>
      </c>
      <c r="N66" s="2308" t="s">
        <v>1388</v>
      </c>
      <c r="Z66" s="1600"/>
      <c r="AI66" s="1539"/>
    </row>
    <row r="67" spans="1:35" ht="14.25" customHeight="1">
      <c r="A67" s="159" t="s">
        <v>328</v>
      </c>
      <c r="B67" s="160" t="s">
        <v>1389</v>
      </c>
      <c r="C67" s="2331">
        <f ca="1">C63-C66</f>
        <v>4296</v>
      </c>
      <c r="D67" s="156" t="s">
        <v>26</v>
      </c>
      <c r="E67" s="158"/>
      <c r="F67" s="1647"/>
      <c r="G67" s="1647"/>
      <c r="H67" s="145"/>
      <c r="I67" s="115"/>
      <c r="J67" s="3321"/>
      <c r="K67" s="1223" t="s">
        <v>1390</v>
      </c>
      <c r="L67" s="1223">
        <f ca="1">IF(M49&gt;=10000,(8.25+(M49-10000)*0.01%),IF(AND(M49&gt;=8000,M49&lt;10000),(7.85+(M49-8000)*0.02%),IF(AND(M49&gt;=5000,M49&lt;8000),(6.65+(M49-5000)*0.04%),IF(AND(M49&gt;=2000,M49&lt;5000),(4.25+(PM49-2000)*0.08%),IF(AND(M49&gt;=1000,M49&lt;2000),(2.75+(M49-1000)*0.15%),IF(AND(M49&gt;=100,M49&lt;1000),(0.5+(M49-100)*0.25%),IF(AND(M49&gt;0,M49&lt;100),M49*0.5%)))))))</f>
        <v>2.65</v>
      </c>
      <c r="M67" s="288">
        <f ca="1">ROUND(L67*0.9,1)</f>
        <v>2.4</v>
      </c>
      <c r="N67" s="2307"/>
      <c r="Z67" s="1600"/>
      <c r="AI67" s="1539"/>
    </row>
    <row r="68" spans="1:35" ht="14.25" customHeight="1" thickBot="1">
      <c r="A68" s="162" t="s">
        <v>329</v>
      </c>
      <c r="B68" s="163" t="s">
        <v>1391</v>
      </c>
      <c r="C68" s="2332">
        <f ca="1">IF(C67&lt;=0,0,ROUND(C67*D68,0))</f>
        <v>241</v>
      </c>
      <c r="D68" s="2333">
        <f>'数据-取费表'!B41</f>
        <v>5.6000000000000001E-2</v>
      </c>
      <c r="E68" s="164"/>
      <c r="F68" s="1647"/>
      <c r="G68" s="1647"/>
      <c r="H68" s="145"/>
      <c r="I68" s="115"/>
      <c r="J68" s="3321"/>
      <c r="K68" s="1223" t="s">
        <v>1392</v>
      </c>
      <c r="L68" s="1223">
        <f ca="1">IF(M49&gt;10000,M49*0.5%,IF(AND(M49&gt;5000,M49&lt;=10000),M49*1%,IF(AND(M49&gt;1000,M49&lt;=5000),M49*2%,IF(AND(M49&gt;200,M49&lt;=1000),M49*3%,M49*5%))))</f>
        <v>90.22</v>
      </c>
      <c r="M68" s="288">
        <f ca="1">ROUND(L68,1)</f>
        <v>90.2</v>
      </c>
      <c r="N68" s="2307"/>
      <c r="Z68" s="1600"/>
      <c r="AI68" s="1539"/>
    </row>
    <row r="69" spans="1:35" ht="16.5" customHeight="1">
      <c r="A69" s="1649"/>
      <c r="B69" s="1650"/>
      <c r="C69" s="1651"/>
      <c r="D69" s="1652"/>
      <c r="E69" s="1653"/>
      <c r="F69" s="1444"/>
      <c r="G69" s="1444"/>
      <c r="H69" s="1445"/>
      <c r="I69" s="636"/>
      <c r="J69" s="3321"/>
      <c r="K69" s="1223" t="s">
        <v>1393</v>
      </c>
      <c r="L69" s="1223"/>
      <c r="M69" s="288">
        <f ca="1">ROUND(SUM(M63:M68),0)</f>
        <v>165</v>
      </c>
      <c r="N69" s="2309">
        <f ca="1">M69/M49</f>
        <v>3.6577255597428505E-2</v>
      </c>
      <c r="Z69" s="1600"/>
      <c r="AI69" s="1539"/>
    </row>
    <row r="70" spans="1:35" s="632" customFormat="1" ht="15" thickBot="1">
      <c r="A70" s="3283" t="s">
        <v>1394</v>
      </c>
      <c r="B70" s="3284"/>
      <c r="C70" s="3284"/>
      <c r="D70" s="3284"/>
      <c r="E70" s="3284"/>
      <c r="F70" s="3284"/>
      <c r="G70" s="3284"/>
      <c r="H70" s="3284"/>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62" t="s">
        <v>1375</v>
      </c>
      <c r="B71" s="3263"/>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4296</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26</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57" t="s">
        <v>1402</v>
      </c>
      <c r="F76" s="3231"/>
      <c r="G76" s="3231"/>
      <c r="H76" s="3282"/>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26</v>
      </c>
      <c r="D78" s="2340">
        <f>'数据-取费表'!B43</f>
        <v>6.000000000000001E-3</v>
      </c>
      <c r="E78" s="3241" t="s">
        <v>1406</v>
      </c>
      <c r="F78" s="3242"/>
      <c r="G78" s="3242"/>
      <c r="H78" s="3251"/>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4270</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164.23076923076923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2553</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83" t="s">
        <v>1410</v>
      </c>
      <c r="B83" s="3284"/>
      <c r="C83" s="3284"/>
      <c r="D83" s="3284"/>
      <c r="E83" s="3284"/>
      <c r="F83" s="3284"/>
      <c r="G83" s="3284"/>
      <c r="H83" s="3284"/>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62" t="s">
        <v>1375</v>
      </c>
      <c r="B84" s="3263"/>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4296</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26</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2288</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323" t="s">
        <v>2129</v>
      </c>
      <c r="H90" s="3324"/>
      <c r="I90" s="1658"/>
      <c r="J90" s="2285" t="s">
        <v>2289</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41" t="s">
        <v>1419</v>
      </c>
      <c r="F91" s="3242"/>
      <c r="G91" s="3242"/>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41" t="s">
        <v>1422</v>
      </c>
      <c r="F92" s="3242"/>
      <c r="G92" s="3242"/>
      <c r="H92" s="3251"/>
      <c r="I92" s="1658"/>
      <c r="J92" s="2286" t="s">
        <v>2290</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26</v>
      </c>
      <c r="D93" s="2340">
        <f>'数据-取费表'!B43</f>
        <v>6.000000000000001E-3</v>
      </c>
      <c r="E93" s="3241" t="s">
        <v>1406</v>
      </c>
      <c r="F93" s="3242"/>
      <c r="G93" s="3242"/>
      <c r="H93" s="3251"/>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252" t="s">
        <v>1426</v>
      </c>
      <c r="F94" s="3253"/>
      <c r="G94" s="3253"/>
      <c r="H94" s="3254"/>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4270</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164.23076923076923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2553</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23" t="s">
        <v>1428</v>
      </c>
      <c r="B100" s="3224"/>
      <c r="C100" s="3224"/>
      <c r="D100" s="3243"/>
      <c r="E100" s="3224" t="s">
        <v>1429</v>
      </c>
      <c r="F100" s="3224"/>
      <c r="G100" s="3224"/>
      <c r="H100" s="3243"/>
      <c r="I100" s="115"/>
    </row>
    <row r="101" spans="1:35" ht="18.75" customHeight="1">
      <c r="A101" s="3304" t="s">
        <v>1430</v>
      </c>
      <c r="B101" s="3305"/>
      <c r="C101" s="2348" t="str">
        <f>C4</f>
        <v>成本法</v>
      </c>
      <c r="D101" s="2349" t="str">
        <f>D4</f>
        <v>收益法</v>
      </c>
      <c r="E101" s="3318" t="s">
        <v>1431</v>
      </c>
      <c r="F101" s="3275"/>
      <c r="G101" s="1664" t="s">
        <v>1432</v>
      </c>
      <c r="H101" s="2358">
        <f ca="1">H118</f>
        <v>4511</v>
      </c>
      <c r="I101" s="115"/>
    </row>
    <row r="102" spans="1:35" ht="18.75" customHeight="1">
      <c r="A102" s="3277" t="s">
        <v>1433</v>
      </c>
      <c r="B102" s="2347" t="s">
        <v>1432</v>
      </c>
      <c r="C102" s="2348">
        <f ca="1">IF(D32="楼面单价",ROUND(C19,0),C19)</f>
        <v>3720</v>
      </c>
      <c r="D102" s="2349">
        <f ca="1">IF(D32="楼面单价",ROUND(D19,0),D19)</f>
        <v>5039</v>
      </c>
      <c r="E102" s="3318"/>
      <c r="F102" s="3275"/>
      <c r="G102" s="1664" t="s">
        <v>1434</v>
      </c>
      <c r="H102" s="2318">
        <f ca="1">I118</f>
        <v>6786</v>
      </c>
      <c r="I102" s="115"/>
    </row>
    <row r="103" spans="1:35" ht="42.75" customHeight="1">
      <c r="A103" s="3277"/>
      <c r="B103" s="2347" t="s">
        <v>1434</v>
      </c>
      <c r="C103" s="2350">
        <f ca="1">C20</f>
        <v>5596</v>
      </c>
      <c r="D103" s="2351">
        <f ca="1">D20</f>
        <v>7581</v>
      </c>
      <c r="E103" s="3312" t="s">
        <v>1435</v>
      </c>
      <c r="F103" s="3313"/>
      <c r="G103" s="1665" t="s">
        <v>1436</v>
      </c>
      <c r="H103" s="2358">
        <f>IF(D36="正常操作",H104+H105+H106,H105+H106)</f>
        <v>0</v>
      </c>
      <c r="I103" s="115"/>
    </row>
    <row r="104" spans="1:35" ht="18.75" customHeight="1">
      <c r="A104" s="3277" t="s">
        <v>1437</v>
      </c>
      <c r="B104" s="2352" t="s">
        <v>1432</v>
      </c>
      <c r="C104" s="2353">
        <f ca="1">H118</f>
        <v>4511</v>
      </c>
      <c r="D104" s="2354"/>
      <c r="E104" s="1533" t="s">
        <v>1438</v>
      </c>
      <c r="F104" s="1526"/>
      <c r="G104" s="1665" t="s">
        <v>1436</v>
      </c>
      <c r="H104" s="2359">
        <f>IF(D36="同一抵押权人同一抵押物续贷",C36&amp;"（续贷，未扣减，详见特别提示）",C36)</f>
        <v>0</v>
      </c>
      <c r="I104" s="115"/>
    </row>
    <row r="105" spans="1:35" ht="18.75" customHeight="1" thickBot="1">
      <c r="A105" s="3278"/>
      <c r="B105" s="2355" t="s">
        <v>1434</v>
      </c>
      <c r="C105" s="2356">
        <f ca="1">I118</f>
        <v>6786</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74" t="str">
        <f>IF(项目基本情况!E8="已注销","——","3.房地产抵押价值")</f>
        <v>3.房地产抵押价值</v>
      </c>
      <c r="F107" s="3275"/>
      <c r="G107" s="1664" t="s">
        <v>1432</v>
      </c>
      <c r="H107" s="2358">
        <f ca="1">IF(E107="——","——",H101-H103)</f>
        <v>4511</v>
      </c>
      <c r="I107" s="115"/>
    </row>
    <row r="108" spans="1:35" ht="18.75" customHeight="1">
      <c r="A108" s="115"/>
      <c r="B108" s="115"/>
      <c r="C108" s="115"/>
      <c r="D108" s="115"/>
      <c r="E108" s="3274"/>
      <c r="F108" s="3275"/>
      <c r="G108" s="1664" t="s">
        <v>1434</v>
      </c>
      <c r="H108" s="2318">
        <f ca="1">IF(H107=H101,H102,ROUND(H107*10000/'数据-汇总表'!E3,0))</f>
        <v>6786</v>
      </c>
      <c r="I108" s="115"/>
    </row>
    <row r="109" spans="1:35" ht="18.75" customHeight="1">
      <c r="A109" s="115"/>
      <c r="B109" s="115"/>
      <c r="C109" s="115"/>
      <c r="D109" s="115"/>
      <c r="E109" s="3274" t="str">
        <f>IF(项目基本情况!E8="已注销及未注销","4.抵押担保权已注销时的房地产抵押价值",IF(项目基本情况!E8="已注销","3.抵押担保权已注销时的房地产抵押价值","——"))</f>
        <v>——</v>
      </c>
      <c r="F109" s="3275"/>
      <c r="G109" s="1664" t="s">
        <v>1432</v>
      </c>
      <c r="H109" s="2361" t="str">
        <f>IF(E109="——","——",H101-H105-H106)</f>
        <v>——</v>
      </c>
      <c r="I109" s="115"/>
    </row>
    <row r="110" spans="1:35" ht="18.75" customHeight="1">
      <c r="A110" s="115"/>
      <c r="B110" s="115"/>
      <c r="C110" s="115"/>
      <c r="D110" s="115"/>
      <c r="E110" s="3274"/>
      <c r="F110" s="3275"/>
      <c r="G110" s="1664" t="s">
        <v>1434</v>
      </c>
      <c r="H110" s="2318" t="str">
        <f>IF(H109="——","——",ROUND(H109*10000/'数据-汇总表'!E3,0))</f>
        <v>——</v>
      </c>
      <c r="I110" s="115"/>
    </row>
    <row r="111" spans="1:35" ht="18.75" customHeight="1">
      <c r="A111" s="115"/>
      <c r="B111" s="115"/>
      <c r="C111" s="115"/>
      <c r="D111" s="115"/>
      <c r="E111" s="3306" t="str">
        <f>IF(项目基本情况!E9="抵押净值",IF(OR(项目基本情况!E8="已注销",项目基本情况!E8="房地产抵押价值"),"4.抵押净值","5.抵押净值"),"——")</f>
        <v>——</v>
      </c>
      <c r="F111" s="3276"/>
      <c r="G111" s="1664" t="s">
        <v>1432</v>
      </c>
      <c r="H111" s="2358" t="str">
        <f>IF(E111="——","——",N59)</f>
        <v>——</v>
      </c>
      <c r="I111" s="115"/>
    </row>
    <row r="112" spans="1:35" ht="18.75" customHeight="1" thickBot="1">
      <c r="A112" s="115"/>
      <c r="B112" s="115"/>
      <c r="C112" s="115"/>
      <c r="D112" s="115"/>
      <c r="E112" s="3307"/>
      <c r="F112" s="3308"/>
      <c r="G112" s="1667" t="s">
        <v>1434</v>
      </c>
      <c r="H112" s="2362" t="str">
        <f>IF(E111="——","——",N61)</f>
        <v>——</v>
      </c>
      <c r="I112" s="115"/>
    </row>
    <row r="113" spans="1:27" ht="18.75" customHeight="1">
      <c r="A113" s="115"/>
      <c r="B113" s="115"/>
      <c r="C113" s="115"/>
      <c r="D113" s="115"/>
      <c r="E113" s="3279" t="s">
        <v>1440</v>
      </c>
      <c r="F113" s="3279"/>
      <c r="G113" s="3279"/>
      <c r="H113" s="3279"/>
      <c r="I113" s="115"/>
    </row>
    <row r="114" spans="1:27" ht="3.75" customHeight="1">
      <c r="A114" s="636"/>
      <c r="B114" s="636"/>
      <c r="C114" s="636"/>
      <c r="D114" s="636"/>
      <c r="E114" s="1648"/>
      <c r="F114" s="1648"/>
      <c r="G114" s="1648"/>
      <c r="H114" s="1648"/>
      <c r="I114" s="636"/>
    </row>
    <row r="115" spans="1:27" ht="18.75" customHeight="1">
      <c r="A115" s="3289" t="s">
        <v>1442</v>
      </c>
      <c r="B115" s="3290"/>
      <c r="C115" s="3290"/>
      <c r="D115" s="3290"/>
      <c r="E115" s="3290"/>
      <c r="F115" s="3290"/>
      <c r="G115" s="3290"/>
      <c r="H115" s="3290"/>
      <c r="I115" s="3291"/>
    </row>
    <row r="116" spans="1:27" ht="27" customHeight="1">
      <c r="A116" s="3245" t="s">
        <v>1443</v>
      </c>
      <c r="B116" s="3280" t="s">
        <v>1444</v>
      </c>
      <c r="C116" s="3280" t="s">
        <v>1445</v>
      </c>
      <c r="D116" s="3293" t="s">
        <v>1446</v>
      </c>
      <c r="E116" s="3294"/>
      <c r="F116" s="3288" t="s">
        <v>1447</v>
      </c>
      <c r="G116" s="3288"/>
      <c r="H116" s="3245" t="s">
        <v>1448</v>
      </c>
      <c r="I116" s="3245"/>
    </row>
    <row r="117" spans="1:27" ht="18.75" customHeight="1">
      <c r="A117" s="3245"/>
      <c r="B117" s="3281"/>
      <c r="C117" s="3281"/>
      <c r="D117" s="2127" t="s">
        <v>1449</v>
      </c>
      <c r="E117" s="2127" t="s">
        <v>1450</v>
      </c>
      <c r="F117" s="2127" t="s">
        <v>1449</v>
      </c>
      <c r="G117" s="2127" t="s">
        <v>1451</v>
      </c>
      <c r="H117" s="2127" t="s">
        <v>1449</v>
      </c>
      <c r="I117" s="2127" t="s">
        <v>1451</v>
      </c>
    </row>
    <row r="118" spans="1:27" ht="24.75" customHeight="1">
      <c r="A118" s="2363" t="str">
        <f>项目基本情况!S2</f>
        <v>北京市房地产</v>
      </c>
      <c r="B118" s="2127">
        <f>M18</f>
        <v>6647.2</v>
      </c>
      <c r="C118" s="2127">
        <f>M19</f>
        <v>6544.93</v>
      </c>
      <c r="D118" s="2127">
        <f ca="1">ROUND(IF(D32="总价",C34,E118*B118/10000),0)</f>
        <v>1859</v>
      </c>
      <c r="E118" s="2127">
        <f ca="1">ROUND(IF(C33="自定义",IF(D32="楼面单价",C34,D118*10000/B118),I118-G118),0)</f>
        <v>2796</v>
      </c>
      <c r="F118" s="2127">
        <f ca="1">ROUND(IF(D32="总价",C35,G118*B118/10000),0)</f>
        <v>2652</v>
      </c>
      <c r="G118" s="2127">
        <f ca="1">ROUND(IF(D32="楼面单价",C35,F118*10000/B118),0)</f>
        <v>3990</v>
      </c>
      <c r="H118" s="2127">
        <f ca="1">ROUND(IF(D32="总价",C32,I118*B118/10000),0)</f>
        <v>4511</v>
      </c>
      <c r="I118" s="2127">
        <f ca="1">ROUND(IF(D32="楼面单价",C32,H118*10000/B118),0)</f>
        <v>6786</v>
      </c>
    </row>
    <row r="119" spans="1:27" ht="18.75" customHeight="1">
      <c r="A119" s="3245" t="s">
        <v>1452</v>
      </c>
      <c r="B119" s="3245"/>
      <c r="C119" s="3245"/>
      <c r="D119" s="3285" t="str">
        <f ca="1">NUMBERSTRING(INT(D118*10000),2)&amp;"元整"</f>
        <v>壹仟捌佰伍拾玖万元整</v>
      </c>
      <c r="E119" s="3287"/>
      <c r="F119" s="3285" t="str">
        <f ca="1">NUMBERSTRING(INT(F118*10000),2)&amp;"元整"</f>
        <v>贰仟陆佰伍拾贰万元整</v>
      </c>
      <c r="G119" s="3287"/>
      <c r="H119" s="3285" t="str">
        <f ca="1">NUMBERSTRING(INT(H118*10000),2)&amp;"元整"</f>
        <v>肆仟伍佰壹拾壹万元整</v>
      </c>
      <c r="I119" s="3287"/>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85" t="s">
        <v>1452</v>
      </c>
      <c r="B121" s="3286"/>
      <c r="C121" s="3287"/>
      <c r="D121" s="3285" t="str">
        <f>IF(D120=0,"零元整",NUMBERSTRING(INT(D120*10000),2)&amp;"元整")</f>
        <v>零元整</v>
      </c>
      <c r="E121" s="3286"/>
      <c r="F121" s="3286"/>
      <c r="G121" s="3286"/>
      <c r="H121" s="3286"/>
      <c r="I121" s="3287"/>
      <c r="AA121" s="674"/>
    </row>
    <row r="122" spans="1:27" ht="18.75" customHeight="1">
      <c r="A122" s="3276" t="str">
        <f>IF(项目基本情况!B9="房地产市场价值","",MID(E107,3,LEN(E107)-2))</f>
        <v>房地产抵押价值</v>
      </c>
      <c r="B122" s="3276"/>
      <c r="C122" s="3276"/>
      <c r="D122" s="3309">
        <f ca="1">H107</f>
        <v>4511</v>
      </c>
      <c r="E122" s="3310"/>
      <c r="F122" s="3310"/>
      <c r="G122" s="3310"/>
      <c r="H122" s="3310"/>
      <c r="I122" s="3311"/>
      <c r="AA122" s="674"/>
    </row>
    <row r="123" spans="1:27" ht="18.75" customHeight="1">
      <c r="A123" s="3245" t="s">
        <v>1452</v>
      </c>
      <c r="B123" s="3245"/>
      <c r="C123" s="3245"/>
      <c r="D123" s="3285" t="str">
        <f ca="1">NUMBERSTRING(INT(D122*10000),2)&amp;"元整"</f>
        <v>肆仟伍佰壹拾壹万元整</v>
      </c>
      <c r="E123" s="3286"/>
      <c r="F123" s="3286"/>
      <c r="G123" s="3286"/>
      <c r="H123" s="3286"/>
      <c r="I123" s="3287"/>
      <c r="AA123" s="674"/>
    </row>
    <row r="124" spans="1:27" ht="18.75" customHeight="1">
      <c r="A124" s="3276" t="str">
        <f>IF(项目基本情况!B9="房地产市场价值","",MID(E109,3,LEN(E109)-2))</f>
        <v/>
      </c>
      <c r="B124" s="3276"/>
      <c r="C124" s="3276"/>
      <c r="D124" s="3309" t="str">
        <f>H109</f>
        <v>——</v>
      </c>
      <c r="E124" s="3310"/>
      <c r="F124" s="3310"/>
      <c r="G124" s="3310"/>
      <c r="H124" s="3310"/>
      <c r="I124" s="3311"/>
      <c r="AA124" s="674"/>
    </row>
    <row r="125" spans="1:27" ht="18.75" customHeight="1">
      <c r="A125" s="3245" t="s">
        <v>1452</v>
      </c>
      <c r="B125" s="3245"/>
      <c r="C125" s="3245"/>
      <c r="D125" s="3285" t="e">
        <f>NUMBERSTRING(INT(D124*10000),2)&amp;"元整"</f>
        <v>#VALUE!</v>
      </c>
      <c r="E125" s="3286"/>
      <c r="F125" s="3286"/>
      <c r="G125" s="3286"/>
      <c r="H125" s="3286"/>
      <c r="I125" s="3287"/>
      <c r="AA125" s="674"/>
    </row>
    <row r="126" spans="1:27" ht="18.75" customHeight="1">
      <c r="A126" s="3276" t="str">
        <f>IF(项目基本情况!B9="房地产市场价值","",MID(E111,3,LEN(E111)-2))</f>
        <v/>
      </c>
      <c r="B126" s="3276"/>
      <c r="C126" s="3276"/>
      <c r="D126" s="3309" t="str">
        <f>H111</f>
        <v>——</v>
      </c>
      <c r="E126" s="3310"/>
      <c r="F126" s="3310"/>
      <c r="G126" s="3310"/>
      <c r="H126" s="3310"/>
      <c r="I126" s="3311"/>
      <c r="AA126" s="674"/>
    </row>
    <row r="127" spans="1:27" ht="18.75" customHeight="1">
      <c r="A127" s="3245" t="s">
        <v>1452</v>
      </c>
      <c r="B127" s="3245"/>
      <c r="C127" s="3245"/>
      <c r="D127" s="3285" t="e">
        <f>NUMBERSTRING(INT(D126*10000),2)&amp;"元整"</f>
        <v>#VALUE!</v>
      </c>
      <c r="E127" s="3286"/>
      <c r="F127" s="3286"/>
      <c r="G127" s="3286"/>
      <c r="H127" s="3286"/>
      <c r="I127" s="3287"/>
      <c r="AA127" s="674"/>
    </row>
    <row r="128" spans="1:27" ht="21.75" customHeight="1">
      <c r="A128" s="3292" t="s">
        <v>1453</v>
      </c>
      <c r="B128" s="3292"/>
      <c r="C128" s="3292"/>
      <c r="D128" s="3292"/>
      <c r="E128" s="3292"/>
      <c r="F128" s="3292"/>
      <c r="G128" s="3292"/>
      <c r="H128" s="3292"/>
      <c r="I128" s="3292"/>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3720</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5596</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1288</v>
      </c>
      <c r="D5" s="197" t="s">
        <v>1469</v>
      </c>
      <c r="E5" s="198" t="s">
        <v>1470</v>
      </c>
      <c r="F5" s="198" t="s">
        <v>1471</v>
      </c>
      <c r="G5" s="199"/>
    </row>
    <row r="6" spans="1:9" s="200" customFormat="1" ht="13.5" customHeight="1">
      <c r="A6" s="714" t="s">
        <v>1472</v>
      </c>
      <c r="B6" s="201" t="s">
        <v>1473</v>
      </c>
      <c r="C6" s="202">
        <f>基准地价修正!B2</f>
        <v>1121</v>
      </c>
      <c r="D6" s="203"/>
      <c r="E6" s="204"/>
      <c r="F6" s="204"/>
      <c r="G6" s="205"/>
    </row>
    <row r="7" spans="1:9" s="200" customFormat="1" ht="13.5" customHeight="1">
      <c r="A7" s="714" t="s">
        <v>1474</v>
      </c>
      <c r="B7" s="201" t="s">
        <v>1475</v>
      </c>
      <c r="C7" s="206">
        <f>ROUND(C6*F7,0)</f>
        <v>34</v>
      </c>
      <c r="D7" s="206"/>
      <c r="E7" s="204"/>
      <c r="F7" s="207">
        <f>IF(项目基本情况!B8="出让",0,'数据-取费表'!B48+'数据-取费表'!B49)</f>
        <v>3.0499999999999999E-2</v>
      </c>
      <c r="G7" s="205"/>
    </row>
    <row r="8" spans="1:9" s="209" customFormat="1">
      <c r="A8" s="714" t="s">
        <v>1476</v>
      </c>
      <c r="B8" s="201" t="s">
        <v>1477</v>
      </c>
      <c r="C8" s="206">
        <f ca="1">IF(G8="已包含在土地购买价格中","0",IF(B1="",'数据-取费表'!B29,IF(G9="全部缴纳",C9+C10,H9)))</f>
        <v>133</v>
      </c>
      <c r="D8" s="208"/>
      <c r="E8" s="206"/>
      <c r="F8" s="207"/>
      <c r="G8" s="1691" t="s">
        <v>3396</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3397</v>
      </c>
      <c r="H9" s="1048"/>
      <c r="I9" s="1693" t="s">
        <v>1479</v>
      </c>
    </row>
    <row r="10" spans="1:9" s="200" customFormat="1" ht="13.5" customHeight="1">
      <c r="A10" s="715" t="s">
        <v>356</v>
      </c>
      <c r="B10" s="210" t="s">
        <v>1480</v>
      </c>
      <c r="C10" s="211">
        <f ca="1">ROUND(D10*E10/10000,0)</f>
        <v>133</v>
      </c>
      <c r="D10" s="777">
        <f ca="1">IF(B1="",'数据-汇总表'!E6,IF(INDIRECT("'数据-取费表'!c"&amp;$G$1)="住宅",INDIRECT("'数据-取费表'!s"&amp;$G$1),INDIRECT("'数据-取费表'!k"&amp;$G$1)+INDIRECT("'数据-取费表'!s"&amp;$G$1)))</f>
        <v>6647.2</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6647.2</v>
      </c>
      <c r="E19" s="197">
        <f>'数据-取费表'!B31</f>
        <v>200</v>
      </c>
      <c r="F19" s="217"/>
      <c r="G19" s="1691" t="s">
        <v>3398</v>
      </c>
    </row>
    <row r="20" spans="1:7" s="200" customFormat="1" ht="13.5" customHeight="1">
      <c r="A20" s="241" t="s">
        <v>1493</v>
      </c>
      <c r="B20" s="196" t="s">
        <v>1494</v>
      </c>
      <c r="C20" s="218">
        <f ca="1">ROUND((C5+C19)*F20,0)</f>
        <v>26</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40</v>
      </c>
      <c r="D22" s="221">
        <f ca="1">C26</f>
        <v>2.9999999999999997E-4</v>
      </c>
      <c r="E22" s="222" t="s">
        <v>1498</v>
      </c>
      <c r="F22" s="223">
        <f ca="1">'数据-取费表'!B40</f>
        <v>3.1E-2</v>
      </c>
      <c r="G22" s="220" t="str">
        <f>IF('数据-取费表'!B22&lt;=1,"单利计息","复利计息")</f>
        <v>单利计息</v>
      </c>
    </row>
    <row r="23" spans="1:7" s="200" customFormat="1" ht="13.5" customHeight="1">
      <c r="A23" s="716" t="s">
        <v>1502</v>
      </c>
      <c r="B23" s="201" t="s">
        <v>1503</v>
      </c>
      <c r="C23" s="1020">
        <f ca="1">ROUND(IF('数据-取费表'!B22&lt;=1,C5*F22*'数据-取费表'!B23,C5*(POWER((1+F22),'数据-取费表'!B23)-1)),0)</f>
        <v>40</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0</v>
      </c>
      <c r="D25" s="224"/>
      <c r="E25" s="227"/>
      <c r="F25" s="225"/>
      <c r="G25" s="228" t="s">
        <v>1510</v>
      </c>
    </row>
    <row r="26" spans="1:7" s="200" customFormat="1">
      <c r="A26" s="716" t="s">
        <v>350</v>
      </c>
      <c r="B26" s="201" t="s">
        <v>1511</v>
      </c>
      <c r="C26" s="224">
        <f ca="1">ROUND(IF('数据-取费表'!B22&lt;=1,F21*F22*'数据-取费表'!B23/2,F21*(POWER((1+F22),'数据-取费表'!B23/2)-1)),4)</f>
        <v>2.9999999999999997E-4</v>
      </c>
      <c r="D26" s="224"/>
      <c r="E26" s="227"/>
      <c r="F26" s="225"/>
      <c r="G26" s="229"/>
    </row>
    <row r="27" spans="1:7" s="200" customFormat="1" ht="24.75">
      <c r="A27" s="241" t="s">
        <v>1512</v>
      </c>
      <c r="B27" s="230" t="s">
        <v>1513</v>
      </c>
      <c r="C27" s="231">
        <f ca="1">C28</f>
        <v>66</v>
      </c>
      <c r="D27" s="221">
        <f ca="1">C29</f>
        <v>1E-3</v>
      </c>
      <c r="E27" s="222" t="s">
        <v>1514</v>
      </c>
      <c r="F27" s="232">
        <f ca="1">IF(B1="",'数据-取费表'!Q16,INDIRECT("'数据-取费表'!q"&amp;$G$1))</f>
        <v>0.05</v>
      </c>
      <c r="G27" s="233" t="s">
        <v>1515</v>
      </c>
    </row>
    <row r="28" spans="1:7" s="200" customFormat="1" ht="13.5" customHeight="1">
      <c r="A28" s="716" t="s">
        <v>346</v>
      </c>
      <c r="B28" s="234" t="s">
        <v>1516</v>
      </c>
      <c r="C28" s="235">
        <f ca="1">ROUND((C5+C19+C20)*F27*'数据-取费表'!B21/'数据-取费表'!B20,0)</f>
        <v>66</v>
      </c>
      <c r="D28" s="221"/>
      <c r="E28" s="222"/>
      <c r="F28" s="232"/>
      <c r="G28" s="233"/>
    </row>
    <row r="29" spans="1:7" s="200" customFormat="1" ht="13.5" customHeight="1">
      <c r="A29" s="716" t="s">
        <v>347</v>
      </c>
      <c r="B29" s="234" t="s">
        <v>1517</v>
      </c>
      <c r="C29" s="224">
        <f ca="1">ROUND(C21*F27*'数据-取费表'!B21/'数据-取费表'!B20,4)</f>
        <v>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1534</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2481</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2194</v>
      </c>
      <c r="D34" s="203"/>
      <c r="E34" s="206"/>
      <c r="F34" s="243">
        <f ca="1">IF('数据-取费表'!B24=0,1,IF(B1="",'数据-取费表'!N16,INDIRECT("'数据-取费表'!n"&amp;$G$1)))</f>
        <v>1</v>
      </c>
      <c r="G34" s="205" t="s">
        <v>1526</v>
      </c>
    </row>
    <row r="35" spans="1:7" ht="13.5" customHeight="1">
      <c r="A35" s="716" t="s">
        <v>351</v>
      </c>
      <c r="B35" s="201" t="s">
        <v>1527</v>
      </c>
      <c r="C35" s="206">
        <f ca="1">ROUND(C34*F35,0)</f>
        <v>110</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133</v>
      </c>
      <c r="D37" s="203">
        <f ca="1">D19</f>
        <v>6647.2</v>
      </c>
      <c r="E37" s="235">
        <f>'数据-取费表'!B35</f>
        <v>200</v>
      </c>
      <c r="F37" s="245"/>
      <c r="G37" s="247" t="s">
        <v>1532</v>
      </c>
    </row>
    <row r="38" spans="1:7" ht="13.5" customHeight="1">
      <c r="A38" s="716" t="s">
        <v>354</v>
      </c>
      <c r="B38" s="201" t="s">
        <v>1533</v>
      </c>
      <c r="C38" s="206">
        <f ca="1">ROUND(C34*F38,0)</f>
        <v>44</v>
      </c>
      <c r="D38" s="206"/>
      <c r="E38" s="206"/>
      <c r="F38" s="245">
        <f>'数据-取费表'!B36</f>
        <v>0.02</v>
      </c>
      <c r="G38" s="205" t="s">
        <v>1528</v>
      </c>
    </row>
    <row r="39" spans="1:7" s="200" customFormat="1" ht="13.5" customHeight="1">
      <c r="A39" s="241" t="s">
        <v>1534</v>
      </c>
      <c r="B39" s="196" t="s">
        <v>1535</v>
      </c>
      <c r="C39" s="218">
        <f ca="1">ROUND(C33*F20,0)</f>
        <v>50</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39</v>
      </c>
      <c r="D41" s="221">
        <f ca="1">C44</f>
        <v>2.9999999999999997E-4</v>
      </c>
      <c r="E41" s="222" t="s">
        <v>1539</v>
      </c>
      <c r="F41" s="223">
        <f ca="1">F22</f>
        <v>3.1E-2</v>
      </c>
      <c r="G41" s="220" t="str">
        <f>IF('数据-取费表'!B22&lt;=1,"单利计息","复利计息")</f>
        <v>单利计息</v>
      </c>
    </row>
    <row r="42" spans="1:7" ht="13.5" customHeight="1">
      <c r="A42" s="716" t="s">
        <v>346</v>
      </c>
      <c r="B42" s="201" t="s">
        <v>1543</v>
      </c>
      <c r="C42" s="224">
        <f ca="1">ROUND(IF('数据-取费表'!B22&lt;=1,C33*F22*'数据-取费表'!B21/2,C33*(POWER((1+F22),'数据-取费表'!B21/2)-1)),0)</f>
        <v>38</v>
      </c>
      <c r="D42" s="224"/>
      <c r="E42" s="224"/>
      <c r="F42" s="225"/>
      <c r="G42" s="3325" t="s">
        <v>1544</v>
      </c>
    </row>
    <row r="43" spans="1:7" ht="13.5" customHeight="1">
      <c r="A43" s="716" t="s">
        <v>347</v>
      </c>
      <c r="B43" s="201" t="s">
        <v>1545</v>
      </c>
      <c r="C43" s="224">
        <f ca="1">ROUND(IF('数据-取费表'!B22&lt;=1,C39*F22*'数据-取费表'!B21/2,C39*(POWER((1+F22),'数据-取费表'!B21/2)-1)),0)</f>
        <v>1</v>
      </c>
      <c r="D43" s="224"/>
      <c r="E43" s="224"/>
      <c r="F43" s="225"/>
      <c r="G43" s="3326"/>
    </row>
    <row r="44" spans="1:7" ht="13.5" customHeight="1">
      <c r="A44" s="716" t="s">
        <v>348</v>
      </c>
      <c r="B44" s="201" t="s">
        <v>1546</v>
      </c>
      <c r="C44" s="224">
        <f ca="1">ROUND(IF('数据-取费表'!B22&lt;=1,C40*F22*'数据-取费表'!B21/2,C40*(POWER((1+F22),'数据-取费表'!B21/2)-1)),4)</f>
        <v>2.9999999999999997E-4</v>
      </c>
      <c r="D44" s="224"/>
      <c r="E44" s="224"/>
      <c r="F44" s="225"/>
      <c r="G44" s="3327"/>
    </row>
    <row r="45" spans="1:7" s="200" customFormat="1" ht="13.5" customHeight="1">
      <c r="A45" s="241" t="s">
        <v>1547</v>
      </c>
      <c r="B45" s="230" t="s">
        <v>1513</v>
      </c>
      <c r="C45" s="231">
        <f ca="1">C46</f>
        <v>127</v>
      </c>
      <c r="D45" s="221">
        <f ca="1">C47</f>
        <v>1E-3</v>
      </c>
      <c r="E45" s="222" t="s">
        <v>1539</v>
      </c>
      <c r="F45" s="232">
        <f ca="1">F27</f>
        <v>0.05</v>
      </c>
      <c r="G45" s="233" t="s">
        <v>1548</v>
      </c>
    </row>
    <row r="46" spans="1:7" s="200" customFormat="1" ht="13.5" customHeight="1">
      <c r="A46" s="716" t="s">
        <v>346</v>
      </c>
      <c r="B46" s="234" t="s">
        <v>1549</v>
      </c>
      <c r="C46" s="235">
        <f ca="1">ROUND((C33+C39)*F27,0)</f>
        <v>127</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2914</v>
      </c>
      <c r="D49" s="218"/>
      <c r="E49" s="218"/>
      <c r="F49" s="250"/>
      <c r="G49" s="220" t="s">
        <v>1554</v>
      </c>
    </row>
    <row r="50" spans="1:7" s="244" customFormat="1" ht="24">
      <c r="A50" s="241" t="s">
        <v>1555</v>
      </c>
      <c r="B50" s="196" t="s">
        <v>1556</v>
      </c>
      <c r="C50" s="218"/>
      <c r="D50" s="218"/>
      <c r="E50" s="218"/>
      <c r="F50" s="250">
        <f>IF('数据-取费表'!B24=0,'数据-取费表'!N16,1)</f>
        <v>0.75</v>
      </c>
      <c r="G50" s="233" t="s">
        <v>1557</v>
      </c>
    </row>
    <row r="51" spans="1:7" ht="16.5" customHeight="1">
      <c r="A51" s="241" t="s">
        <v>1558</v>
      </c>
      <c r="B51" s="196" t="s">
        <v>1559</v>
      </c>
      <c r="C51" s="218">
        <f ca="1">ROUND(C49*F50,0)</f>
        <v>2186</v>
      </c>
      <c r="D51" s="218"/>
      <c r="E51" s="218"/>
      <c r="F51" s="250"/>
      <c r="G51" s="220" t="s">
        <v>1560</v>
      </c>
    </row>
    <row r="52" spans="1:7" s="194" customFormat="1" ht="16.5" thickBot="1">
      <c r="A52" s="251" t="s">
        <v>1561</v>
      </c>
      <c r="B52" s="252"/>
      <c r="C52" s="253">
        <f ca="1">C31+C51</f>
        <v>3720</v>
      </c>
      <c r="D52" s="252"/>
      <c r="E52" s="252"/>
      <c r="F52" s="252"/>
      <c r="G52" s="254"/>
    </row>
    <row r="55" spans="1:7" ht="15">
      <c r="B55" s="256" t="s">
        <v>1562</v>
      </c>
      <c r="C55" s="257"/>
    </row>
    <row r="56" spans="1:7">
      <c r="B56" s="259" t="s">
        <v>802</v>
      </c>
      <c r="C56" s="261">
        <f ca="1">1-C57</f>
        <v>0.41200000000000003</v>
      </c>
    </row>
    <row r="57" spans="1:7">
      <c r="B57" s="259" t="s">
        <v>803</v>
      </c>
      <c r="C57" s="260">
        <f ca="1">ROUND(C51/C52,3)</f>
        <v>0.58799999999999997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41" t="str">
        <f>项目基本情况!B1</f>
        <v>北京市房地产抵押价值预评估</v>
      </c>
      <c r="C37" s="3141"/>
      <c r="D37" s="3141"/>
      <c r="E37" s="3141"/>
      <c r="F37" s="3141"/>
      <c r="G37" s="3141"/>
      <c r="H37" s="3141"/>
      <c r="I37" s="3141"/>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5">
        <f ca="1">ROUND(IF(D2="——",C52/10000,C52/10000-E2),4)</f>
        <v>2501.2049000000002</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3763</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1329440</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1329440</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1329440</v>
      </c>
      <c r="D10" s="777">
        <f ca="1">IF(B1="",'数据-汇总表'!E6,IF(INDIRECT("'数据-取费表'!c"&amp;$G$1)="住宅",INDIRECT("'数据-取费表'!s"&amp;$G$1),INDIRECT("'数据-取费表'!k"&amp;$G$1)+INDIRECT("'数据-取费表'!s"&amp;$G$1)))</f>
        <v>6647.2</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1329440</v>
      </c>
      <c r="D19" s="198">
        <f ca="1">D9+D10</f>
        <v>6647.2</v>
      </c>
      <c r="E19" s="197">
        <f>'数据-取费表'!B31</f>
        <v>200</v>
      </c>
      <c r="F19" s="217"/>
      <c r="G19" s="1691"/>
    </row>
    <row r="20" spans="1:7" s="200" customFormat="1" ht="13.5" customHeight="1">
      <c r="A20" s="241" t="s">
        <v>1574</v>
      </c>
      <c r="B20" s="196" t="s">
        <v>1575</v>
      </c>
      <c r="C20" s="218">
        <f ca="1">ROUND((C5+C19)*F20,0)</f>
        <v>53178</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83250</v>
      </c>
      <c r="D22" s="221">
        <f ca="1">C26</f>
        <v>2.9999999999999997E-4</v>
      </c>
      <c r="E22" s="222" t="s">
        <v>1579</v>
      </c>
      <c r="F22" s="223">
        <f ca="1">'数据-取费表'!B40</f>
        <v>3.1E-2</v>
      </c>
      <c r="G22" s="220" t="str">
        <f>IF('数据-取费表'!B22&lt;=1,"单利计息","复利计息")</f>
        <v>单利计息</v>
      </c>
    </row>
    <row r="23" spans="1:7" s="200" customFormat="1" ht="13.5" customHeight="1">
      <c r="A23" s="716" t="s">
        <v>1472</v>
      </c>
      <c r="B23" s="201" t="s">
        <v>1583</v>
      </c>
      <c r="C23" s="224">
        <f ca="1">ROUND(IF('数据-取费表'!B22&lt;=1,C5*F22*'数据-取费表'!B22,C5*(POWER((1+F22),'数据-取费表'!B22)-1)),0)</f>
        <v>41213</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41213</v>
      </c>
      <c r="D24" s="224"/>
      <c r="E24" s="224"/>
      <c r="F24" s="225"/>
      <c r="G24" s="226" t="s">
        <v>1586</v>
      </c>
    </row>
    <row r="25" spans="1:7" s="200" customFormat="1" ht="24">
      <c r="A25" s="716" t="s">
        <v>1476</v>
      </c>
      <c r="B25" s="201" t="s">
        <v>1587</v>
      </c>
      <c r="C25" s="224">
        <f ca="1">ROUND(IF('数据-取费表'!B22&lt;=1,C20*F22*'数据-取费表'!B22/2,C20*(POWER((1+F22),'数据-取费表'!B22/2)-1)),0)</f>
        <v>824</v>
      </c>
      <c r="D25" s="224"/>
      <c r="E25" s="227"/>
      <c r="F25" s="225"/>
      <c r="G25" s="228" t="s">
        <v>1588</v>
      </c>
    </row>
    <row r="26" spans="1:7" s="200" customFormat="1">
      <c r="A26" s="716" t="s">
        <v>350</v>
      </c>
      <c r="B26" s="201" t="s">
        <v>1511</v>
      </c>
      <c r="C26" s="224">
        <f ca="1">ROUND(IF('数据-取费表'!B22&lt;=1,F21*F22*'数据-取费表'!B22/2,F21*(POWER((1+F22),'数据-取费表'!B22/2)-1)),4)</f>
        <v>2.9999999999999997E-4</v>
      </c>
      <c r="D26" s="224"/>
      <c r="E26" s="227"/>
      <c r="F26" s="225"/>
      <c r="G26" s="229"/>
    </row>
    <row r="27" spans="1:7" s="200" customFormat="1" ht="24.75">
      <c r="A27" s="241" t="s">
        <v>1512</v>
      </c>
      <c r="B27" s="230" t="s">
        <v>1513</v>
      </c>
      <c r="C27" s="231">
        <f ca="1">C28</f>
        <v>135603</v>
      </c>
      <c r="D27" s="221">
        <f ca="1">C29</f>
        <v>1E-3</v>
      </c>
      <c r="E27" s="222" t="s">
        <v>1514</v>
      </c>
      <c r="F27" s="232">
        <f ca="1">IF(B1="",'数据-取费表'!Q16,INDIRECT("'数据-取费表'!q"&amp;$G$1))</f>
        <v>0.05</v>
      </c>
      <c r="G27" s="233" t="s">
        <v>1515</v>
      </c>
    </row>
    <row r="28" spans="1:7" s="200" customFormat="1" ht="13.5" customHeight="1">
      <c r="A28" s="716" t="s">
        <v>346</v>
      </c>
      <c r="B28" s="234" t="s">
        <v>1516</v>
      </c>
      <c r="C28" s="235">
        <f ca="1">ROUND((C5+C19+C20)*F27,0)</f>
        <v>135603</v>
      </c>
      <c r="D28" s="221"/>
      <c r="E28" s="222"/>
      <c r="F28" s="232"/>
      <c r="G28" s="233"/>
    </row>
    <row r="29" spans="1:7" s="200" customFormat="1" ht="13.5" customHeight="1">
      <c r="A29" s="716" t="s">
        <v>347</v>
      </c>
      <c r="B29" s="234" t="s">
        <v>1517</v>
      </c>
      <c r="C29" s="224">
        <f ca="1">ROUND(C21*F27,4)</f>
        <v>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3167183</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24800703</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21935760</v>
      </c>
      <c r="D34" s="203"/>
      <c r="E34" s="206"/>
      <c r="F34" s="243"/>
      <c r="G34" s="205"/>
    </row>
    <row r="35" spans="1:7" ht="13.5" customHeight="1">
      <c r="A35" s="716" t="s">
        <v>351</v>
      </c>
      <c r="B35" s="201" t="s">
        <v>1527</v>
      </c>
      <c r="C35" s="206">
        <f ca="1">ROUND(C34*F35,0)</f>
        <v>1096788</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1329440</v>
      </c>
      <c r="D37" s="203">
        <f ca="1">D19</f>
        <v>6647.2</v>
      </c>
      <c r="E37" s="235">
        <f>'数据-取费表'!B35</f>
        <v>200</v>
      </c>
      <c r="F37" s="245"/>
      <c r="G37" s="247"/>
    </row>
    <row r="38" spans="1:7" ht="13.5" customHeight="1">
      <c r="A38" s="716" t="s">
        <v>354</v>
      </c>
      <c r="B38" s="201" t="s">
        <v>1533</v>
      </c>
      <c r="C38" s="206">
        <f ca="1">ROUND(C34*F38,0)</f>
        <v>438715</v>
      </c>
      <c r="D38" s="206"/>
      <c r="E38" s="206"/>
      <c r="F38" s="245">
        <f>'数据-取费表'!B36</f>
        <v>0.02</v>
      </c>
      <c r="G38" s="205" t="s">
        <v>1528</v>
      </c>
    </row>
    <row r="39" spans="1:7" s="200" customFormat="1" ht="13.5" customHeight="1">
      <c r="A39" s="241" t="s">
        <v>1534</v>
      </c>
      <c r="B39" s="196" t="s">
        <v>1535</v>
      </c>
      <c r="C39" s="218">
        <f ca="1">ROUND(C33*F20,0)</f>
        <v>496014</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392099</v>
      </c>
      <c r="D41" s="221">
        <f ca="1">C44</f>
        <v>2.9999999999999997E-4</v>
      </c>
      <c r="E41" s="222" t="s">
        <v>1539</v>
      </c>
      <c r="F41" s="223">
        <f ca="1">F22</f>
        <v>3.1E-2</v>
      </c>
      <c r="G41" s="220" t="str">
        <f>IF('数据-取费表'!B22&lt;=1,"单利计息","复利计息")</f>
        <v>单利计息</v>
      </c>
    </row>
    <row r="42" spans="1:7" ht="13.5" customHeight="1">
      <c r="A42" s="716" t="s">
        <v>346</v>
      </c>
      <c r="B42" s="201" t="s">
        <v>1543</v>
      </c>
      <c r="C42" s="224">
        <f ca="1">ROUND(IF('数据-取费表'!B22&lt;=1,C33*F22*'数据-取费表'!B20/2,C33*(POWER((1+F22),'数据-取费表'!B20/2)-1)),0)</f>
        <v>384411</v>
      </c>
      <c r="D42" s="224"/>
      <c r="E42" s="224"/>
      <c r="F42" s="225"/>
      <c r="G42" s="3325" t="s">
        <v>1591</v>
      </c>
    </row>
    <row r="43" spans="1:7" ht="13.5" customHeight="1">
      <c r="A43" s="716" t="s">
        <v>347</v>
      </c>
      <c r="B43" s="201" t="s">
        <v>1545</v>
      </c>
      <c r="C43" s="224">
        <f ca="1">ROUND(IF('数据-取费表'!B22&lt;=1,C39*F22*'数据-取费表'!B20/2,C39*(POWER((1+F22),'数据-取费表'!B20/2)-1)),0)</f>
        <v>7688</v>
      </c>
      <c r="D43" s="224"/>
      <c r="E43" s="224"/>
      <c r="F43" s="225"/>
      <c r="G43" s="3326"/>
    </row>
    <row r="44" spans="1:7" ht="13.5" customHeight="1">
      <c r="A44" s="716" t="s">
        <v>348</v>
      </c>
      <c r="B44" s="201" t="s">
        <v>1546</v>
      </c>
      <c r="C44" s="224">
        <f ca="1">ROUND(IF('数据-取费表'!B22&lt;=1,C40*F22*'数据-取费表'!B20/2,C40*(POWER((1+F22),'数据-取费表'!B20/2)-1)),4)</f>
        <v>2.9999999999999997E-4</v>
      </c>
      <c r="D44" s="224"/>
      <c r="E44" s="224"/>
      <c r="F44" s="225"/>
      <c r="G44" s="3327"/>
    </row>
    <row r="45" spans="1:7" s="200" customFormat="1" ht="13.5" customHeight="1">
      <c r="A45" s="241" t="s">
        <v>1547</v>
      </c>
      <c r="B45" s="230" t="s">
        <v>1513</v>
      </c>
      <c r="C45" s="231">
        <f ca="1">C46</f>
        <v>1264836</v>
      </c>
      <c r="D45" s="221">
        <f ca="1">C47</f>
        <v>1E-3</v>
      </c>
      <c r="E45" s="222" t="s">
        <v>1539</v>
      </c>
      <c r="F45" s="232">
        <f ca="1">F27</f>
        <v>0.05</v>
      </c>
      <c r="G45" s="233" t="s">
        <v>1548</v>
      </c>
    </row>
    <row r="46" spans="1:7" s="200" customFormat="1" ht="13.5" customHeight="1">
      <c r="A46" s="716" t="s">
        <v>346</v>
      </c>
      <c r="B46" s="234" t="s">
        <v>1549</v>
      </c>
      <c r="C46" s="235">
        <f ca="1">ROUND((C33+C39)*F27,0)</f>
        <v>1264836</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29126488</v>
      </c>
      <c r="D49" s="218"/>
      <c r="E49" s="218"/>
      <c r="F49" s="250"/>
      <c r="G49" s="220" t="s">
        <v>1554</v>
      </c>
    </row>
    <row r="50" spans="1:7" s="244" customFormat="1">
      <c r="A50" s="241" t="s">
        <v>1555</v>
      </c>
      <c r="B50" s="196" t="s">
        <v>1556</v>
      </c>
      <c r="C50" s="218"/>
      <c r="D50" s="218"/>
      <c r="E50" s="218"/>
      <c r="F50" s="250">
        <f>IF('数据-取费表'!B24=0,'数据-取费表'!N16,1)</f>
        <v>0.75</v>
      </c>
      <c r="G50" s="233"/>
    </row>
    <row r="51" spans="1:7" ht="16.5" customHeight="1">
      <c r="A51" s="241" t="s">
        <v>1558</v>
      </c>
      <c r="B51" s="196" t="s">
        <v>1593</v>
      </c>
      <c r="C51" s="218">
        <f ca="1">ROUND(C49*F50,0)</f>
        <v>21844866</v>
      </c>
      <c r="D51" s="218"/>
      <c r="E51" s="218"/>
      <c r="F51" s="250"/>
      <c r="G51" s="220" t="s">
        <v>1560</v>
      </c>
    </row>
    <row r="52" spans="1:7" s="194" customFormat="1" ht="16.5" thickBot="1">
      <c r="A52" s="251" t="s">
        <v>1561</v>
      </c>
      <c r="B52" s="252"/>
      <c r="C52" s="253">
        <f ca="1">C31+C51</f>
        <v>25012049</v>
      </c>
      <c r="D52" s="252"/>
      <c r="E52" s="252"/>
      <c r="F52" s="252"/>
      <c r="G52" s="254"/>
    </row>
    <row r="55" spans="1:7" ht="15">
      <c r="B55" s="256" t="s">
        <v>1562</v>
      </c>
      <c r="C55" s="257"/>
    </row>
    <row r="56" spans="1:7">
      <c r="B56" s="259" t="s">
        <v>802</v>
      </c>
      <c r="C56" s="261">
        <f ca="1">1-C57</f>
        <v>0.127</v>
      </c>
    </row>
    <row r="57" spans="1:7">
      <c r="B57" s="259" t="s">
        <v>803</v>
      </c>
      <c r="C57" s="260">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0</v>
      </c>
      <c r="C2" s="262" t="s">
        <v>1595</v>
      </c>
      <c r="D2" s="262"/>
      <c r="E2" s="2541"/>
      <c r="F2" s="2541"/>
      <c r="G2" s="2541"/>
      <c r="H2" s="2541"/>
      <c r="I2" s="2541"/>
      <c r="J2" s="2541"/>
      <c r="K2" s="2541"/>
    </row>
    <row r="3" spans="1:33" ht="18" customHeight="1" thickBot="1">
      <c r="A3" s="189" t="s">
        <v>1464</v>
      </c>
      <c r="B3" s="190">
        <f ca="1">ROUND(B2*10000/IF(C1="",'数据-汇总表'!E3,INDIRECT("'数据-取费表'!K"&amp;$K$1)),0)</f>
        <v>0</v>
      </c>
      <c r="C3" s="262" t="s">
        <v>1596</v>
      </c>
      <c r="D3" s="262"/>
      <c r="E3" s="2541"/>
      <c r="F3" s="2541"/>
      <c r="G3" s="2541"/>
      <c r="H3" s="2541"/>
      <c r="I3" s="2541"/>
      <c r="J3" s="2541"/>
      <c r="K3" s="2541"/>
    </row>
    <row r="4" spans="1:33" s="721" customFormat="1" ht="16.5" customHeight="1">
      <c r="A4" s="718" t="s">
        <v>1597</v>
      </c>
      <c r="B4" s="719"/>
      <c r="C4" s="757">
        <f>SUM(C8:K8)</f>
        <v>0</v>
      </c>
      <c r="D4" s="719"/>
      <c r="E4" s="719"/>
      <c r="F4" s="719"/>
      <c r="G4" s="719"/>
      <c r="H4" s="719"/>
      <c r="I4" s="719"/>
      <c r="J4" s="719"/>
      <c r="K4" s="720"/>
    </row>
    <row r="5" spans="1:33" s="725" customFormat="1" ht="15">
      <c r="A5" s="722" t="s">
        <v>1598</v>
      </c>
      <c r="B5" s="723" t="s">
        <v>1599</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1613</v>
      </c>
      <c r="C12" s="21">
        <f ca="1">ROUND(C11*F12,0)</f>
        <v>0</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0</v>
      </c>
      <c r="D14" s="778">
        <f ca="1">IF(C1="",'数据-汇总表'!E3,INDIRECT("'数据-取费表'!K"&amp;$K$1)+INDIRECT("'数据-取费表'!S"&amp;$K$1))</f>
        <v>6647.2</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0</v>
      </c>
      <c r="D15" s="740"/>
      <c r="E15" s="745"/>
      <c r="F15" s="746">
        <f>'数据-取费表'!B36</f>
        <v>0.02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6647.2</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0</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133</v>
      </c>
      <c r="D20" s="778">
        <f ca="1">IF(C1="",'数据-汇总表'!E6,IF(INDIRECT("'数据-取费表'!c"&amp;$K$1)="住宅",INDIRECT("'数据-取费表'!s"&amp;$K$1),INDIRECT("'数据-取费表'!k"&amp;$K$1)+INDIRECT("'数据-取费表'!s"&amp;$K$1)))</f>
        <v>6647.2</v>
      </c>
      <c r="E20" s="21">
        <f>'数据-取费表'!B28</f>
        <v>200</v>
      </c>
      <c r="F20" s="738"/>
      <c r="G20" s="12"/>
      <c r="H20" s="743"/>
      <c r="I20" s="743"/>
      <c r="J20" s="743"/>
      <c r="K20" s="744"/>
    </row>
    <row r="21" spans="1:33" s="737" customFormat="1" ht="13.5" customHeight="1">
      <c r="A21" s="726" t="s">
        <v>357</v>
      </c>
      <c r="B21" s="747" t="s">
        <v>1628</v>
      </c>
      <c r="C21" s="748">
        <f ca="1">C16+C17+C18</f>
        <v>0</v>
      </c>
      <c r="D21" s="749"/>
      <c r="E21" s="267"/>
      <c r="F21" s="267"/>
      <c r="G21" s="117" t="s">
        <v>1629</v>
      </c>
      <c r="H21" s="741"/>
      <c r="I21" s="741"/>
      <c r="J21" s="741"/>
      <c r="K21" s="742"/>
    </row>
    <row r="22" spans="1:33" s="737" customFormat="1" ht="13.5" customHeight="1">
      <c r="A22" s="726" t="s">
        <v>1601</v>
      </c>
      <c r="B22" s="747" t="s">
        <v>1630</v>
      </c>
      <c r="C22" s="748">
        <f ca="1">ROUND(C21*F22,0)</f>
        <v>0</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0</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0</v>
      </c>
      <c r="D25" s="266">
        <f ca="1">C26</f>
        <v>0</v>
      </c>
      <c r="E25" s="268" t="s">
        <v>12</v>
      </c>
      <c r="F25" s="269">
        <f ca="1">'数据-取费表'!B40</f>
        <v>3.1E-2</v>
      </c>
      <c r="G25" s="117" t="str">
        <f>IF('数据-取费表'!B22&lt;=1,"单利计息。","复利计息。")&amp;"后续开发成本、管理费用及销售费用产生的利息。"</f>
        <v>单利计息。后续开发成本、管理费用及销售费用产生的利息。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（(1)+取得税费率/(1+5%)）×年利率×建设期</v>
      </c>
      <c r="H26" s="741"/>
      <c r="I26" s="741"/>
      <c r="J26" s="741"/>
      <c r="K26" s="742"/>
    </row>
    <row r="27" spans="1:33" s="754" customFormat="1" ht="13.5" customHeight="1">
      <c r="A27" s="734" t="s">
        <v>359</v>
      </c>
      <c r="B27" s="753" t="s">
        <v>1640</v>
      </c>
      <c r="C27" s="1023">
        <f ca="1">ROUND(IF('数据-取费表'!B22&lt;=1,(C21+C22+C23)*F25*'数据-取费表'!B24/2,(C21+C22+C23)*(POWER((1+F25),'数据-取费表'!B24/2)-1)),0)</f>
        <v>0</v>
      </c>
      <c r="D27" s="270"/>
      <c r="E27" s="271"/>
      <c r="F27" s="272"/>
      <c r="G27" s="1699" t="str">
        <f>IF('数据-取费表'!B22&lt;=1,"（1）-（3）项×年利率×建设期÷2","（1）-（3）项×((1+年利率)^(建设期÷2)-1)")</f>
        <v>（1）-（3）项×年利率×建设期÷2</v>
      </c>
      <c r="H27" s="741"/>
      <c r="I27" s="741"/>
      <c r="J27" s="741"/>
      <c r="K27" s="742"/>
    </row>
    <row r="28" spans="1:33" s="275" customFormat="1" ht="13.5" customHeight="1">
      <c r="A28" s="726" t="s">
        <v>1641</v>
      </c>
      <c r="B28" s="1700" t="s">
        <v>1642</v>
      </c>
      <c r="C28" s="273">
        <f ca="1">C30</f>
        <v>0</v>
      </c>
      <c r="D28" s="266">
        <f ca="1">C29</f>
        <v>0</v>
      </c>
      <c r="E28" s="268" t="s">
        <v>12</v>
      </c>
      <c r="F28" s="274">
        <f ca="1">IF(C1="",'数据-取费表'!Q16,INDIRECT("'数据-取费表'!q"&amp;$K$1))</f>
        <v>0.05</v>
      </c>
      <c r="G28" s="751"/>
      <c r="H28" s="752"/>
      <c r="I28" s="752"/>
      <c r="J28" s="752"/>
      <c r="K28" s="55"/>
    </row>
    <row r="29" spans="1:33" s="277" customFormat="1" ht="13.5" customHeight="1">
      <c r="A29" s="734" t="s">
        <v>358</v>
      </c>
      <c r="B29" s="755" t="s">
        <v>1643</v>
      </c>
      <c r="C29" s="270">
        <f ca="1">ROUND((1+C24)*F28*'数据-取费表'!B24/'数据-取费表'!B20,4)</f>
        <v>0</v>
      </c>
      <c r="D29" s="270"/>
      <c r="E29" s="271"/>
      <c r="F29" s="276"/>
      <c r="G29" s="117" t="s">
        <v>1644</v>
      </c>
      <c r="H29" s="741"/>
      <c r="I29" s="741"/>
      <c r="J29" s="741"/>
      <c r="K29" s="742"/>
    </row>
    <row r="30" spans="1:33" s="277" customFormat="1" ht="13.5" customHeight="1">
      <c r="A30" s="734" t="s">
        <v>359</v>
      </c>
      <c r="B30" s="755" t="s">
        <v>1645</v>
      </c>
      <c r="C30" s="278">
        <f ca="1">ROUND((C21+C22+C23)*F28,0)</f>
        <v>0</v>
      </c>
      <c r="D30" s="270"/>
      <c r="E30" s="271"/>
      <c r="F30" s="276"/>
      <c r="G30" s="117"/>
      <c r="H30" s="741"/>
      <c r="I30" s="741"/>
      <c r="J30" s="741"/>
      <c r="K30" s="742"/>
    </row>
    <row r="31" spans="1:33" s="737" customFormat="1" ht="13.5" customHeight="1" thickBot="1">
      <c r="A31" s="1701" t="s">
        <v>1646</v>
      </c>
      <c r="B31" s="765" t="s">
        <v>1647</v>
      </c>
      <c r="C31" s="766">
        <f>ROUND(C4*F31/(1+'数据-取费表'!C42),0)</f>
        <v>0</v>
      </c>
      <c r="D31" s="767"/>
      <c r="E31" s="768"/>
      <c r="F31" s="769">
        <f>'数据-取费表'!B41</f>
        <v>5.6000000000000001E-2</v>
      </c>
      <c r="G31" s="770" t="s">
        <v>1648</v>
      </c>
      <c r="H31" s="771"/>
      <c r="I31" s="771"/>
      <c r="J31" s="771"/>
      <c r="K31" s="772"/>
    </row>
    <row r="32" spans="1:33" s="733" customFormat="1" ht="13.5" customHeight="1" thickBot="1">
      <c r="A32" s="442" t="s">
        <v>1649</v>
      </c>
      <c r="B32" s="761"/>
      <c r="C32" s="762">
        <f ca="1">ROUND((C4-C21-C22-C23-C25-C28-C31)/(1+C24+D25+D28),0)</f>
        <v>0</v>
      </c>
      <c r="D32" s="761"/>
      <c r="E32" s="761"/>
      <c r="F32" s="761"/>
      <c r="G32" s="763" t="s">
        <v>1650</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7" zoomScale="85" zoomScaleNormal="80" zoomScaleSheetLayoutView="85" workbookViewId="0">
      <selection activeCell="C25" sqref="C25"/>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1926</v>
      </c>
      <c r="B1" s="183"/>
      <c r="C1" s="187" t="s">
        <v>1927</v>
      </c>
      <c r="D1" s="326">
        <f>SUM(D33:D34,D37:D42)</f>
        <v>6647.2</v>
      </c>
      <c r="E1" s="1819"/>
      <c r="F1" s="1819"/>
      <c r="G1" s="1819"/>
      <c r="H1" s="1819"/>
      <c r="I1" s="1819"/>
      <c r="J1" s="1819"/>
      <c r="K1" s="1034"/>
      <c r="L1" s="1820" t="s">
        <v>1928</v>
      </c>
      <c r="M1" s="790">
        <f>SUMPRODUCT((区片价!B5:B9=I2)*(区片价!C3:G3=E2)*(区片价!C5:G9))</f>
        <v>0</v>
      </c>
      <c r="N1" s="793">
        <f>SUMPRODUCT((因素修正幅度!B5:B9=I2)*(因素修正幅度!C3:G3=E2)*(因素修正幅度!C5:G9))</f>
        <v>0</v>
      </c>
      <c r="O1" s="1821"/>
      <c r="P1" s="1821"/>
      <c r="Q1" s="1034"/>
      <c r="R1" s="1107" t="s">
        <v>1929</v>
      </c>
      <c r="S1" s="1107" t="s">
        <v>1930</v>
      </c>
      <c r="T1" s="1107" t="s">
        <v>1931</v>
      </c>
      <c r="U1" s="1107" t="s">
        <v>1932</v>
      </c>
      <c r="V1" s="1107" t="s">
        <v>1933</v>
      </c>
      <c r="W1" s="1111"/>
      <c r="X1" s="1111"/>
      <c r="Y1" s="1111"/>
      <c r="Z1" s="1111"/>
      <c r="AA1" s="1111"/>
      <c r="AB1" s="1111"/>
      <c r="AC1" s="1112"/>
      <c r="AD1" s="1113"/>
      <c r="AE1" s="1113"/>
      <c r="AF1" s="1113"/>
      <c r="AG1" s="1113"/>
      <c r="AH1" s="1113"/>
      <c r="AI1" s="1113"/>
      <c r="AJ1" s="1114"/>
    </row>
    <row r="2" spans="1:36" ht="15.75">
      <c r="A2" s="187" t="s">
        <v>1934</v>
      </c>
      <c r="B2" s="190">
        <f>C30</f>
        <v>1121</v>
      </c>
      <c r="C2" s="1823" t="s">
        <v>1935</v>
      </c>
      <c r="D2" s="156" t="s">
        <v>1936</v>
      </c>
      <c r="E2" s="3093" t="s">
        <v>3</v>
      </c>
      <c r="F2" s="156" t="s">
        <v>1937</v>
      </c>
      <c r="G2" s="157" t="str">
        <f>IF(E2="商业",项目基本情况!B37,IF(E2="办公",项目基本情况!C37,IF(E2="住宅",项目基本情况!D37,IF(E2="工业",项目基本情况!E37,项目基本情况!F37))))</f>
        <v>七级</v>
      </c>
      <c r="H2" s="156" t="s">
        <v>1938</v>
      </c>
      <c r="I2" s="157" t="str">
        <f>IF(E2="商业",项目基本情况!B38,IF(E2="办公",项目基本情况!C38,IF(E2="住宅",项目基本情况!D38,IF(E2="工业",项目基本情况!E38,项目基本情况!F38))))</f>
        <v>Ⅶ-石龙开发区</v>
      </c>
      <c r="J2" s="1819"/>
      <c r="K2" s="1034"/>
      <c r="L2" s="1824" t="s">
        <v>1939</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1.5019</v>
      </c>
      <c r="T2" s="3036">
        <f t="shared" ref="T2:T16" si="0">ROUND($C$5*$C$22*$C$23*$C$24*S2*$C$28,0)</f>
        <v>2407</v>
      </c>
      <c r="U2" s="1108"/>
      <c r="V2" s="3036">
        <f>ROUND(T2*U2/10000,0)</f>
        <v>0</v>
      </c>
      <c r="W2" s="1111"/>
      <c r="X2" s="1111"/>
      <c r="Y2" s="1111"/>
      <c r="Z2" s="1111"/>
      <c r="AA2" s="1111"/>
      <c r="AB2" s="1111"/>
      <c r="AC2" s="1112"/>
      <c r="AD2" s="1113"/>
      <c r="AE2" s="1113"/>
      <c r="AF2" s="1113"/>
      <c r="AG2" s="1113"/>
      <c r="AH2" s="1113"/>
      <c r="AI2" s="1113"/>
      <c r="AJ2" s="1114"/>
    </row>
    <row r="3" spans="1:36" ht="15.75">
      <c r="A3" s="189" t="s">
        <v>1940</v>
      </c>
      <c r="B3" s="190">
        <f>ROUND(B2*10000/D1,0)</f>
        <v>1686</v>
      </c>
      <c r="C3" s="1823" t="s">
        <v>1941</v>
      </c>
      <c r="D3" s="156" t="s">
        <v>1942</v>
      </c>
      <c r="E3" s="3091" t="s">
        <v>2477</v>
      </c>
      <c r="F3" s="1825" t="s">
        <v>3392</v>
      </c>
      <c r="G3" s="690">
        <f>IF(F3="宗地容积率",'数据-汇总表'!I4,IF(F3="估价对象容积率",'数据-汇总表'!I6,'数据-汇总表'!I7))</f>
        <v>1.02</v>
      </c>
      <c r="H3" s="156" t="s">
        <v>1943</v>
      </c>
      <c r="I3" s="711"/>
      <c r="J3" s="1819" t="s">
        <v>1944</v>
      </c>
      <c r="K3" s="1034"/>
      <c r="L3" s="1824" t="s">
        <v>1945</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1.1838</v>
      </c>
      <c r="T3" s="3036">
        <f t="shared" si="0"/>
        <v>1897</v>
      </c>
      <c r="U3" s="1108"/>
      <c r="V3" s="3036">
        <f t="shared" ref="V3:V16" si="1">ROUND(T3*U3/10000,0)</f>
        <v>0</v>
      </c>
      <c r="W3" s="1111"/>
      <c r="X3" s="1111"/>
      <c r="Y3" s="1111"/>
      <c r="Z3" s="1111"/>
      <c r="AA3" s="1111"/>
      <c r="AB3" s="1111"/>
      <c r="AC3" s="1112"/>
      <c r="AD3" s="1113"/>
      <c r="AE3" s="1113"/>
      <c r="AF3" s="1113"/>
      <c r="AG3" s="1113"/>
      <c r="AH3" s="1113"/>
      <c r="AI3" s="1113"/>
      <c r="AJ3" s="1114"/>
    </row>
    <row r="4" spans="1:36" ht="15.75">
      <c r="A4" s="3335"/>
      <c r="B4" s="3336"/>
      <c r="C4" s="3336"/>
      <c r="D4" s="3337"/>
      <c r="E4" s="3337"/>
      <c r="F4" s="3337"/>
      <c r="G4" s="3337"/>
      <c r="H4" s="3337"/>
      <c r="I4" s="3337"/>
      <c r="J4" s="3338"/>
      <c r="K4" s="1034"/>
      <c r="L4" s="1824" t="s">
        <v>1946</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1.0004999999999999</v>
      </c>
      <c r="T4" s="3036">
        <f t="shared" si="0"/>
        <v>1604</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1947</v>
      </c>
      <c r="C5" s="691">
        <f>ROUND(IF(E2="商业",C6*C7*C17+C20,(IF(E2="住宅",C6*C13*C17+C20,IF(E2="办公",C6*C12*C17+C20,C6+C20)))),0)</f>
        <v>1667</v>
      </c>
      <c r="D5" s="1230">
        <f>ROUND(C6*C17+C20,0)</f>
        <v>1667</v>
      </c>
      <c r="E5" s="1230"/>
      <c r="F5" s="1828"/>
      <c r="G5" s="1829"/>
      <c r="H5" s="1829"/>
      <c r="I5" s="1829"/>
      <c r="J5" s="1830"/>
      <c r="K5" s="1831"/>
      <c r="L5" s="1824" t="s">
        <v>1948</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0.88239999999999996</v>
      </c>
      <c r="T5" s="3036">
        <f t="shared" si="0"/>
        <v>1414</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1949</v>
      </c>
      <c r="B6" s="1837" t="s">
        <v>1950</v>
      </c>
      <c r="C6" s="692">
        <f>SUMIF(L1:L12,G2,M1:M12)</f>
        <v>1700</v>
      </c>
      <c r="D6" s="1838"/>
      <c r="E6" s="1839"/>
      <c r="F6" s="1839"/>
      <c r="G6" s="1840"/>
      <c r="H6" s="1840"/>
      <c r="I6" s="1840"/>
      <c r="J6" s="1841"/>
      <c r="K6" s="1270"/>
      <c r="L6" s="1824" t="s">
        <v>1951</v>
      </c>
      <c r="M6" s="791">
        <f>SUMPRODUCT((区片价!B127:B189=I2)*(区片价!C3:G3=E2)*(区片价!C127:G189))</f>
        <v>0</v>
      </c>
      <c r="N6" s="793">
        <f>SUMPRODUCT((因素修正幅度!B127:B189=I2)*(因素修正幅度!C3:G3=E2)*(因素修正幅度!C127:G189))</f>
        <v>0</v>
      </c>
      <c r="O6" s="1034"/>
      <c r="P6" s="1034"/>
      <c r="Q6" s="1034"/>
      <c r="R6" s="1107">
        <v>5</v>
      </c>
      <c r="S6" s="3036">
        <f>ROUND(SUMPRODUCT((B106:B110=R6)*(C105:N105=G2)*(C106:N110)),4)</f>
        <v>0.84799999999999998</v>
      </c>
      <c r="T6" s="3036">
        <f t="shared" si="0"/>
        <v>1359</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3235</v>
      </c>
      <c r="B7" s="1842" t="s">
        <v>1952</v>
      </c>
      <c r="C7" s="693">
        <f>IF(C8="不临65条商业街",1,ROUND(1+(1.6*E8+1.2*E9+0.8*E10+0.4*E11)*C9,4))</f>
        <v>1</v>
      </c>
      <c r="D7" s="1843" t="s">
        <v>1953</v>
      </c>
      <c r="E7" s="712"/>
      <c r="F7" s="1844"/>
      <c r="G7" s="1845"/>
      <c r="H7" s="1845"/>
      <c r="I7" s="1845"/>
      <c r="J7" s="1846"/>
      <c r="K7" s="1270"/>
      <c r="L7" s="1824" t="s">
        <v>1954</v>
      </c>
      <c r="M7" s="791">
        <f>SUMPRODUCT((区片价!B190:B233=I2)*(区片价!C3:G3=E2)*(区片价!C190:G233))</f>
        <v>1700</v>
      </c>
      <c r="N7" s="793">
        <f>SUMPRODUCT((因素修正幅度!B190:B233=I2)*(因素修正幅度!C3:G3=E2)*(因素修正幅度!C190:G233))</f>
        <v>0.05</v>
      </c>
      <c r="O7" s="1034"/>
      <c r="P7" s="1034"/>
      <c r="Q7" s="1034"/>
      <c r="R7" s="1107">
        <v>6</v>
      </c>
      <c r="S7" s="3090"/>
      <c r="T7" s="3036">
        <f t="shared" si="0"/>
        <v>0</v>
      </c>
      <c r="U7" s="1108"/>
      <c r="V7" s="3036">
        <f t="shared" si="1"/>
        <v>0</v>
      </c>
      <c r="W7" s="1245" t="s">
        <v>1955</v>
      </c>
      <c r="X7" s="1109" t="str">
        <f>G2</f>
        <v>七级</v>
      </c>
      <c r="Y7" s="1109" t="s">
        <v>1956</v>
      </c>
      <c r="Z7" s="1110">
        <f>G3</f>
        <v>1.02</v>
      </c>
      <c r="AA7" s="1111"/>
      <c r="AB7" s="1111"/>
      <c r="AC7" s="1112"/>
      <c r="AD7" s="1113"/>
      <c r="AE7" s="1113"/>
      <c r="AF7" s="1113"/>
      <c r="AG7" s="1113"/>
      <c r="AH7" s="1113"/>
      <c r="AI7" s="1113"/>
      <c r="AJ7" s="1114"/>
    </row>
    <row r="8" spans="1:36" ht="25.5">
      <c r="A8" s="2982"/>
      <c r="B8" s="156" t="s">
        <v>1957</v>
      </c>
      <c r="C8" s="1847" t="s">
        <v>3393</v>
      </c>
      <c r="D8" s="694" t="s">
        <v>112</v>
      </c>
      <c r="E8" s="695" t="e">
        <f>ROUND(C11/E7,4)</f>
        <v>#DIV/0!</v>
      </c>
      <c r="F8" s="1848" t="s">
        <v>1958</v>
      </c>
      <c r="G8" s="1849"/>
      <c r="H8" s="1849"/>
      <c r="I8" s="1849"/>
      <c r="J8" s="1850"/>
      <c r="K8" s="1034"/>
      <c r="L8" s="1824" t="s">
        <v>1959</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332" t="s">
        <v>1960</v>
      </c>
      <c r="X8" s="3333"/>
      <c r="Y8" s="1115" t="s">
        <v>1961</v>
      </c>
      <c r="Z8" s="1115" t="s">
        <v>1962</v>
      </c>
      <c r="AA8" s="1115" t="s">
        <v>1963</v>
      </c>
      <c r="AB8" s="1115" t="s">
        <v>1964</v>
      </c>
      <c r="AC8" s="1115" t="s">
        <v>1965</v>
      </c>
      <c r="AD8" s="1115" t="s">
        <v>1966</v>
      </c>
      <c r="AE8" s="1115" t="s">
        <v>1967</v>
      </c>
      <c r="AF8" s="1115" t="s">
        <v>1968</v>
      </c>
      <c r="AG8" s="1115" t="s">
        <v>1969</v>
      </c>
      <c r="AH8" s="1115" t="s">
        <v>1970</v>
      </c>
      <c r="AI8" s="1115" t="s">
        <v>1971</v>
      </c>
      <c r="AJ8" s="1115" t="s">
        <v>1972</v>
      </c>
    </row>
    <row r="9" spans="1:36" ht="15">
      <c r="A9" s="2982"/>
      <c r="B9" s="156" t="s">
        <v>1973</v>
      </c>
      <c r="C9" s="696">
        <f>SUMIF(修正!C71:C138,C8,修正!E71:E138)</f>
        <v>0</v>
      </c>
      <c r="D9" s="157" t="s">
        <v>113</v>
      </c>
      <c r="E9" s="157" t="e">
        <f>ROUND(C11/E7,4)</f>
        <v>#DIV/0!</v>
      </c>
      <c r="F9" s="1848" t="s">
        <v>1974</v>
      </c>
      <c r="G9" s="1849"/>
      <c r="H9" s="1849"/>
      <c r="I9" s="1849"/>
      <c r="J9" s="1850"/>
      <c r="K9" s="1034"/>
      <c r="L9" s="1824" t="s">
        <v>1975</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334"/>
      <c r="X9" s="3037" t="s">
        <v>3266</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1976</v>
      </c>
      <c r="C10" s="157">
        <f>SUMIF(修正!C71:C138,C8,修正!F71:F138)</f>
        <v>0</v>
      </c>
      <c r="D10" s="157" t="s">
        <v>114</v>
      </c>
      <c r="E10" s="157" t="e">
        <f>ROUND(C11/E7,4)</f>
        <v>#DIV/0!</v>
      </c>
      <c r="F10" s="1848" t="s">
        <v>1977</v>
      </c>
      <c r="G10" s="1849"/>
      <c r="H10" s="1849"/>
      <c r="I10" s="1849"/>
      <c r="J10" s="1850"/>
      <c r="K10" s="1034"/>
      <c r="L10" s="1824" t="s">
        <v>1978</v>
      </c>
      <c r="M10" s="791">
        <f>SUMPRODUCT((区片价!B327:B357=I2)*(区片价!C3:G3=E2)*(区片价!C327:G357))</f>
        <v>0</v>
      </c>
      <c r="N10" s="793">
        <f>SUMPRODUCT((因素修正幅度!B327:B357=I2)*(因素修正幅度!C3:G3=E2)*(因素修正幅度!C327:G357))</f>
        <v>0</v>
      </c>
      <c r="O10" s="1034"/>
      <c r="P10" s="1034"/>
      <c r="Q10" s="1034"/>
      <c r="R10" s="1107">
        <v>9</v>
      </c>
      <c r="S10" s="1108"/>
      <c r="T10" s="3036">
        <f t="shared" si="0"/>
        <v>0</v>
      </c>
      <c r="U10" s="1108"/>
      <c r="V10" s="3036">
        <f t="shared" si="1"/>
        <v>0</v>
      </c>
      <c r="W10" s="3334"/>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1979</v>
      </c>
      <c r="C11" s="697">
        <f>C10/4</f>
        <v>0</v>
      </c>
      <c r="D11" s="697" t="s">
        <v>115</v>
      </c>
      <c r="E11" s="697" t="e">
        <f>ROUND(C11/E7,4)</f>
        <v>#DIV/0!</v>
      </c>
      <c r="F11" s="1852" t="s">
        <v>1980</v>
      </c>
      <c r="G11" s="1853"/>
      <c r="H11" s="1853"/>
      <c r="I11" s="1853"/>
      <c r="J11" s="1854"/>
      <c r="K11" s="1034"/>
      <c r="L11" s="1824" t="s">
        <v>1981</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3236</v>
      </c>
      <c r="B12" s="2986" t="s">
        <v>3237</v>
      </c>
      <c r="C12" s="2987">
        <v>1</v>
      </c>
      <c r="D12" s="2988" t="s">
        <v>3238</v>
      </c>
      <c r="E12" s="2989" t="s">
        <v>3239</v>
      </c>
      <c r="F12" s="2990"/>
      <c r="G12" s="2991"/>
      <c r="H12" s="2991"/>
      <c r="I12" s="2991"/>
      <c r="J12" s="2992"/>
      <c r="K12" s="1034"/>
      <c r="L12" s="1773" t="s">
        <v>1984</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3240</v>
      </c>
      <c r="B13" s="1855" t="s">
        <v>1982</v>
      </c>
      <c r="C13" s="693">
        <f>ROUND(C16*D16*E16*F16*G16*H16*I16*J16,4)</f>
        <v>0</v>
      </c>
      <c r="D13" s="1856" t="s">
        <v>1983</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1985</v>
      </c>
      <c r="C14" s="1861" t="s">
        <v>1986</v>
      </c>
      <c r="D14" s="1239" t="s">
        <v>1987</v>
      </c>
      <c r="E14" s="27" t="s">
        <v>1988</v>
      </c>
      <c r="F14" s="2993" t="s">
        <v>3241</v>
      </c>
      <c r="G14" s="2993" t="s">
        <v>3241</v>
      </c>
      <c r="H14" s="2993" t="s">
        <v>3241</v>
      </c>
      <c r="I14" s="2993" t="s">
        <v>3241</v>
      </c>
      <c r="J14" s="2993" t="s">
        <v>3241</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3242</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1989</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3243</v>
      </c>
      <c r="B17" s="3000" t="s">
        <v>3244</v>
      </c>
      <c r="C17" s="3009">
        <f>ROUND(IF(OR(E2="工业",E2="公共服务"),1,IF(AND(E18=0,E19=0),1,IF(AND(E18=J24,E19=G19),0.8,IF(E19=0,1+E17*(-0.2),1+E17*G17*(-0.2))))),4)</f>
        <v>1</v>
      </c>
      <c r="D17" s="3001" t="s">
        <v>3245</v>
      </c>
      <c r="E17" s="3009">
        <f>ROUND(G18/I18,2)</f>
        <v>0</v>
      </c>
      <c r="F17" s="3001" t="s">
        <v>3248</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3246</v>
      </c>
      <c r="E18" s="2334"/>
      <c r="F18" s="3003" t="s">
        <v>3249</v>
      </c>
      <c r="G18" s="3007">
        <f>ROUND(1-(1/(POWER(1+G24,E18))),4)</f>
        <v>0</v>
      </c>
      <c r="H18" s="3003" t="s">
        <v>3251</v>
      </c>
      <c r="I18" s="3007">
        <f>ROUND(1-(1/(POWER(1+G24,J24))),4)</f>
        <v>0.91279999999999994</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3247</v>
      </c>
      <c r="E19" s="3016"/>
      <c r="F19" s="3017" t="s">
        <v>3250</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9" t="s">
        <v>3252</v>
      </c>
      <c r="B20" s="153" t="s">
        <v>1994</v>
      </c>
      <c r="C20" s="3004">
        <f>ROUND(IF(F21="与级别开发程度一致",0,(G21-E21)/C21),0)</f>
        <v>-33</v>
      </c>
      <c r="D20" s="3019" t="s">
        <v>1998</v>
      </c>
      <c r="E20" s="3020"/>
      <c r="F20" s="3345" t="s">
        <v>1995</v>
      </c>
      <c r="G20" s="3346"/>
      <c r="H20" s="3005" t="s">
        <v>3428</v>
      </c>
      <c r="I20" s="3005" t="s">
        <v>3429</v>
      </c>
      <c r="J20" s="3006" t="s">
        <v>3430</v>
      </c>
      <c r="K20" s="1866" t="s">
        <v>3431</v>
      </c>
      <c r="L20" s="1866" t="s">
        <v>3432</v>
      </c>
      <c r="M20" s="1866" t="s">
        <v>3433</v>
      </c>
      <c r="N20" s="1866" t="s">
        <v>3434</v>
      </c>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40"/>
      <c r="B21" s="1979" t="s">
        <v>1997</v>
      </c>
      <c r="C21" s="1980">
        <f>IF(E3="M4科研用地",SUMPRODUCT((修正!A2:A7=E3)*(修正!B1:M1=G2)*(修正!B2:M7)),SUMPRODUCT((修正!A2:A7=E2)*(修正!B1:M1=G2)*(修正!B2:M7)))</f>
        <v>1.2</v>
      </c>
      <c r="D21" s="173" t="str">
        <f>IF(OR(G2="八级",G2="九级",G2="十级",G2="十一级",G2="十二级"),"五通一平","七通一平")</f>
        <v>七通一平</v>
      </c>
      <c r="E21" s="1970">
        <f>SUMPRODUCT((修正!B1:M1=G2)*(修正!B17:M17))</f>
        <v>315</v>
      </c>
      <c r="F21" s="1971" t="s">
        <v>3427</v>
      </c>
      <c r="G21" s="1972">
        <f>SUM(H21:O21)</f>
        <v>275</v>
      </c>
      <c r="H21" s="1980">
        <f>SUMPRODUCT((七通一平=H20)*(修正!B1:M1=G2)*(修正!B8:M16))</f>
        <v>70</v>
      </c>
      <c r="I21" s="1980">
        <f>SUMPRODUCT((七通一平=I20)*(修正!B1:M1=G2)*(修正!B8:M16))</f>
        <v>60</v>
      </c>
      <c r="J21" s="1981">
        <f>SUMPRODUCT((七通一平=J20)*(修正!B1:M1=G2)*(修正!B8:M16))</f>
        <v>15</v>
      </c>
      <c r="K21" s="1980">
        <f>SUMPRODUCT((七通一平=K20)*(修正!B1:M1=G2)*(修正!B8:M16))</f>
        <v>25</v>
      </c>
      <c r="L21" s="1980">
        <f>SUMPRODUCT((七通一平=L20)*(修正!B1:M1=G2)*(修正!B8:M16))</f>
        <v>40</v>
      </c>
      <c r="M21" s="1980">
        <f>SUMPRODUCT((七通一平=M20)*(修正!B1:M1=G2)*(修正!B8:M16))</f>
        <v>50</v>
      </c>
      <c r="N21" s="1980">
        <f>SUMPRODUCT((七通一平=N20)*(修正!B1:M1=G2)*(修正!B8:M16))</f>
        <v>15</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2000</v>
      </c>
      <c r="C22" s="1975">
        <f>SUMIF(修正!C20:C51,E3,修正!E20:E51)</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2001</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73" t="s">
        <v>2002</v>
      </c>
      <c r="E23" s="699">
        <v>44197</v>
      </c>
      <c r="F23" s="1873" t="s">
        <v>2003</v>
      </c>
      <c r="G23" s="700">
        <f>'数据-取费表'!B2</f>
        <v>45695</v>
      </c>
      <c r="H23" s="3021" t="s">
        <v>3254</v>
      </c>
      <c r="I23" s="3022" t="str">
        <f>IF(H23="季度增幅（自定义）",SUMIF(N25:N28,E2,O25:O28),"")</f>
        <v/>
      </c>
      <c r="J23" s="3113" t="s">
        <v>3253</v>
      </c>
      <c r="K23" s="1039"/>
      <c r="L23" s="1874" t="s">
        <v>2004</v>
      </c>
      <c r="M23" s="1219">
        <f>ROUND(SUMIF(地价!B2:G2,E2,地价!B16:G16),0)</f>
        <v>318</v>
      </c>
      <c r="N23" s="1875" t="s">
        <v>2005</v>
      </c>
      <c r="O23" s="701">
        <f>ROUNDDOWN(DATEDIF(E23,G23,"M")/3,0)</f>
        <v>16</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2006</v>
      </c>
      <c r="C24" s="702">
        <f>ROUND(POWER(1+G24,J24-I24)*(POWER(1+G24,I24)-1)/(POWER(1+G24,J24)-1),4)</f>
        <v>0.86919999999999997</v>
      </c>
      <c r="D24" s="1879" t="s">
        <v>2007</v>
      </c>
      <c r="E24" s="1226">
        <f>存贷款利率!E27/100</f>
        <v>4.3499999999999997E-2</v>
      </c>
      <c r="F24" s="1879" t="s">
        <v>1999</v>
      </c>
      <c r="G24" s="706">
        <f>SUMIF(M30:Q30,E2,M33:Q33)</f>
        <v>0.05</v>
      </c>
      <c r="H24" s="1879" t="s">
        <v>2008</v>
      </c>
      <c r="I24" s="707">
        <f>SUMIF('数据-取费表'!C6:C15,E2,'数据-取费表'!F6:F15)/COUNTIF('数据-取费表'!C6:C15,E2)</f>
        <v>32.32</v>
      </c>
      <c r="J24" s="708">
        <f>IF(E2="住宅",70,IF(E2="商业",40,50))</f>
        <v>50</v>
      </c>
      <c r="K24" s="1039"/>
      <c r="L24" s="1880" t="s">
        <v>2009</v>
      </c>
      <c r="M24" s="1220">
        <f>ROUND(SUMPRODUCT((地价!A4:A16=YEAR(G23)&amp;"-"&amp;ROUNDUP(MONTH(G23)/3,0))*(地价!B2:G2=E2)*(地价!B4:G16)),0)</f>
        <v>0</v>
      </c>
      <c r="N24" s="1881" t="s">
        <v>2010</v>
      </c>
      <c r="O24" s="1882" t="s">
        <v>2011</v>
      </c>
      <c r="P24" s="1883" t="s">
        <v>2012</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3333</v>
      </c>
      <c r="C25" s="454">
        <f>IF(B25="容积率修正",IF(G3&lt;10,D26,J26),C27)</f>
        <v>1.0523</v>
      </c>
      <c r="D25" s="1886"/>
      <c r="E25" s="1886"/>
      <c r="F25" s="1886"/>
      <c r="G25" s="1886"/>
      <c r="H25" s="1886"/>
      <c r="I25" s="1886"/>
      <c r="J25" s="1887"/>
      <c r="K25" s="1039"/>
      <c r="L25" s="2527"/>
      <c r="M25" s="2527"/>
      <c r="N25" s="1888" t="s">
        <v>2013</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2014</v>
      </c>
      <c r="B26" s="1889" t="s">
        <v>2015</v>
      </c>
      <c r="C26" s="1889" t="s">
        <v>3255</v>
      </c>
      <c r="D26" s="1241">
        <f>IF(E26=G26,F26,IF(G3&lt;10,ROUND(F26+(H26-F26)*(G3-E26)/(G26-E26),4),"——"))</f>
        <v>1.0523</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690">
        <f>ROUNDUP(G3,1)</f>
        <v>1.1000000000000001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889" t="s">
        <v>3256</v>
      </c>
      <c r="J26" s="367" t="str">
        <f>IF(G3&gt;=10,D115,"——")</f>
        <v>——</v>
      </c>
      <c r="K26" s="1039"/>
      <c r="L26" s="2527"/>
      <c r="M26" s="2527"/>
      <c r="N26" s="1888" t="s">
        <v>2016</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2017</v>
      </c>
      <c r="B27" s="1890" t="s">
        <v>2018</v>
      </c>
      <c r="C27" s="773">
        <f>ROUND(IF(I3&lt;6,SUMPRODUCT((B106:B110=I3)*(C105:N105=G2)*(C106:N110)),SUMIF(C105:N105,G2,C112:N112)),4)</f>
        <v>0</v>
      </c>
      <c r="D27" s="1819"/>
      <c r="E27" s="1819"/>
      <c r="F27" s="1891"/>
      <c r="G27" s="1892"/>
      <c r="H27" s="1893"/>
      <c r="I27" s="1894"/>
      <c r="J27" s="1895"/>
      <c r="K27" s="1034"/>
      <c r="L27" s="1821"/>
      <c r="M27" s="1821"/>
      <c r="N27" s="1888" t="s">
        <v>2019</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2020</v>
      </c>
      <c r="C28" s="698">
        <f>SUMIF(A47:A101,E2,B47:B101)</f>
        <v>1.0225</v>
      </c>
      <c r="D28" s="1871"/>
      <c r="E28" s="1896"/>
      <c r="F28" s="1896"/>
      <c r="G28" s="1896"/>
      <c r="H28" s="1896"/>
      <c r="I28" s="1896"/>
      <c r="J28" s="1897"/>
      <c r="K28" s="1039"/>
      <c r="L28" s="2527"/>
      <c r="M28" s="2527"/>
      <c r="N28" s="1898" t="s">
        <v>2021</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2022</v>
      </c>
      <c r="C29" s="703"/>
      <c r="D29" s="1845"/>
      <c r="E29" s="1845"/>
      <c r="F29" s="1900"/>
      <c r="G29" s="1845"/>
      <c r="H29" s="1845"/>
      <c r="I29" s="1845"/>
      <c r="J29" s="1846"/>
      <c r="K29" s="1034"/>
      <c r="L29" s="1821"/>
      <c r="M29" s="1821"/>
      <c r="N29" s="2524" t="s">
        <v>2023</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2024</v>
      </c>
      <c r="C30" s="2122">
        <f>IF(B25="容积率修正",E33+SUM(E37:E42),SUM(V2:V16)+SUM(E37:E42))</f>
        <v>1121</v>
      </c>
      <c r="D30" s="1902"/>
      <c r="E30" s="1819"/>
      <c r="F30" s="1903"/>
      <c r="G30" s="1819"/>
      <c r="H30" s="1819"/>
      <c r="I30" s="1819"/>
      <c r="J30" s="1904"/>
      <c r="K30" s="1034"/>
      <c r="L30" s="3028" t="s">
        <v>1936</v>
      </c>
      <c r="M30" s="3029" t="s">
        <v>1990</v>
      </c>
      <c r="N30" s="3029" t="s">
        <v>1991</v>
      </c>
      <c r="O30" s="3029" t="s">
        <v>1992</v>
      </c>
      <c r="P30" s="3029" t="s">
        <v>1993</v>
      </c>
      <c r="Q30" s="3032" t="s">
        <v>3260</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2025</v>
      </c>
      <c r="C31" s="704">
        <f>E34+SUM(I37:I42)</f>
        <v>0</v>
      </c>
      <c r="D31" s="1906"/>
      <c r="E31" s="1907"/>
      <c r="F31" s="1908"/>
      <c r="G31" s="1907"/>
      <c r="H31" s="1907"/>
      <c r="I31" s="1907"/>
      <c r="J31" s="1909"/>
      <c r="K31" s="1034"/>
      <c r="L31" s="3030" t="s">
        <v>1996</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2026</v>
      </c>
      <c r="C32" s="1912" t="s">
        <v>2027</v>
      </c>
      <c r="D32" s="1912" t="s">
        <v>2028</v>
      </c>
      <c r="E32" s="1913" t="s">
        <v>2029</v>
      </c>
      <c r="F32" s="1914"/>
      <c r="G32" s="1858"/>
      <c r="H32" s="1858"/>
      <c r="I32" s="1858"/>
      <c r="J32" s="1859"/>
      <c r="K32" s="1034"/>
      <c r="L32" s="3031" t="s">
        <v>1999</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2030</v>
      </c>
      <c r="C33" s="161">
        <f>ROUND(C5*C22*C23*C24*C25*C28,0)</f>
        <v>1687</v>
      </c>
      <c r="D33" s="1917">
        <f>'数据-汇总表'!F19</f>
        <v>6647.2</v>
      </c>
      <c r="E33" s="709">
        <f>ROUND(C33*D33/10000,0)</f>
        <v>1121</v>
      </c>
      <c r="F33" s="3023" t="s">
        <v>3258</v>
      </c>
      <c r="G33" s="1918"/>
      <c r="H33" s="1918"/>
      <c r="I33" s="1918"/>
      <c r="J33" s="1919"/>
      <c r="K33" s="1034"/>
      <c r="L33" s="3026" t="s">
        <v>3261</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2031</v>
      </c>
      <c r="C34" s="173">
        <f>ROUND(IF(E2="工业",C33*M42,IF(B25="楼层修正",SUM(V2:V16)*M41*10000/D34,C33*M41)),0)</f>
        <v>253</v>
      </c>
      <c r="D34" s="1922"/>
      <c r="E34" s="709">
        <f>ROUND(IF(B25="楼层修正",SUM(V2:V16)*M40,C34*D34/10000),0)</f>
        <v>0</v>
      </c>
      <c r="F34" s="1923" t="s">
        <v>2032</v>
      </c>
      <c r="G34" s="1924"/>
      <c r="H34" s="1924"/>
      <c r="I34" s="1924"/>
      <c r="J34" s="1925"/>
      <c r="K34" s="1034"/>
      <c r="L34" s="3026" t="s">
        <v>3262</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2033</v>
      </c>
      <c r="C35" s="3024" t="s">
        <v>3259</v>
      </c>
      <c r="D35" s="1858"/>
      <c r="E35" s="1928"/>
      <c r="F35" s="1928"/>
      <c r="G35" s="1856" t="s">
        <v>2034</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2027</v>
      </c>
      <c r="D36" s="426" t="s">
        <v>2028</v>
      </c>
      <c r="E36" s="426" t="s">
        <v>2029</v>
      </c>
      <c r="F36" s="326" t="s">
        <v>2035</v>
      </c>
      <c r="G36" s="1931" t="s">
        <v>2027</v>
      </c>
      <c r="H36" s="1931" t="s">
        <v>2028</v>
      </c>
      <c r="I36" s="1931" t="s">
        <v>2029</v>
      </c>
      <c r="J36" s="229"/>
      <c r="K36" s="1941" t="s">
        <v>3263</v>
      </c>
      <c r="L36" s="3114">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43"/>
      <c r="B37" s="1932" t="s">
        <v>2036</v>
      </c>
      <c r="C37" s="161">
        <f>ROUND(D5*C22*C23*C24*C28*F37,0)</f>
        <v>962</v>
      </c>
      <c r="D37" s="1917"/>
      <c r="E37" s="157">
        <f>ROUND(C37*D37/10000,0)</f>
        <v>0</v>
      </c>
      <c r="F37" s="157">
        <f>SUMIF(修正!A57:A68,G2,修正!B57:B68)</f>
        <v>0.6</v>
      </c>
      <c r="G37" s="157">
        <f>ROUND(IF(E2="工业",C37*$M$42,C37*$M$41),0)</f>
        <v>144</v>
      </c>
      <c r="H37" s="157">
        <f>D37</f>
        <v>0</v>
      </c>
      <c r="I37" s="157">
        <f>ROUND(G37*H37/10000,0)</f>
        <v>0</v>
      </c>
      <c r="J37" s="2727"/>
      <c r="K37" s="3034" t="s">
        <v>3264</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44"/>
      <c r="B38" s="1861" t="s">
        <v>2037</v>
      </c>
      <c r="C38" s="161">
        <f>ROUND(D5*C22*C23*C24*C28*F38,0)</f>
        <v>481</v>
      </c>
      <c r="D38" s="1917"/>
      <c r="E38" s="157">
        <f t="shared" ref="E38:E42" si="4">ROUND(C38*D38/10000,0)</f>
        <v>0</v>
      </c>
      <c r="F38" s="157">
        <f>SUMIF(修正!A57:A68,G2,修正!C57:C68)</f>
        <v>0.3</v>
      </c>
      <c r="G38" s="157">
        <f>ROUND(IF(E2="工业",C38*$M$42,C38*$M$41),0)</f>
        <v>72</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44"/>
      <c r="B39" s="1861" t="s">
        <v>3257</v>
      </c>
      <c r="C39" s="161">
        <f>ROUND(D5*C22*C23*C24*C28*F39,0)</f>
        <v>401</v>
      </c>
      <c r="D39" s="1917"/>
      <c r="E39" s="157">
        <f t="shared" si="4"/>
        <v>0</v>
      </c>
      <c r="F39" s="157">
        <f>SUMIF(修正!A57:A68,G2,修正!D57:D68)</f>
        <v>0.25</v>
      </c>
      <c r="G39" s="157">
        <f>ROUND(IF(E2="工业",C39*$M$42,C39*$M$41),0)</f>
        <v>60</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2038</v>
      </c>
      <c r="C40" s="157">
        <f>ROUND(D5*C22*C23*C24*C28*F40,0)</f>
        <v>401</v>
      </c>
      <c r="D40" s="1917"/>
      <c r="E40" s="157">
        <f t="shared" si="4"/>
        <v>0</v>
      </c>
      <c r="F40" s="161">
        <f>SUMIF(修正!A57:A68,G2,修正!E57:E68)</f>
        <v>0.25</v>
      </c>
      <c r="G40" s="157">
        <f>ROUND(IF(E2="工业",C40*$M$42,C40*$M$41),0)</f>
        <v>60</v>
      </c>
      <c r="H40" s="157">
        <f t="shared" si="5"/>
        <v>0</v>
      </c>
      <c r="I40" s="157">
        <f t="shared" si="6"/>
        <v>0</v>
      </c>
      <c r="J40" s="919"/>
      <c r="L40" s="1934" t="s">
        <v>2039</v>
      </c>
      <c r="M40" s="1935"/>
      <c r="Z40" s="1035"/>
      <c r="AA40" s="1035"/>
      <c r="AB40" s="1035"/>
      <c r="AC40" s="1035"/>
      <c r="AD40" s="1035"/>
      <c r="AE40" s="1035"/>
      <c r="AF40" s="1035"/>
      <c r="AG40" s="1035"/>
      <c r="AH40" s="1035"/>
      <c r="AI40" s="1035"/>
      <c r="AJ40" s="1035"/>
    </row>
    <row r="41" spans="1:37" s="1034" customFormat="1">
      <c r="A41" s="1933"/>
      <c r="B41" s="1861" t="s">
        <v>2040</v>
      </c>
      <c r="C41" s="157">
        <f>ROUND(D5*C22*C23*C44*C28*F41,0)</f>
        <v>0</v>
      </c>
      <c r="D41" s="1917"/>
      <c r="E41" s="157">
        <f t="shared" si="4"/>
        <v>0</v>
      </c>
      <c r="F41" s="161">
        <f>SUMIF(修正!A57:A68,G2,修正!F57:F68)</f>
        <v>0.25</v>
      </c>
      <c r="G41" s="157">
        <f>ROUND(IF(E2="工业",C41*$M$42,C41*$M$41),0)</f>
        <v>0</v>
      </c>
      <c r="H41" s="157">
        <f t="shared" si="5"/>
        <v>0</v>
      </c>
      <c r="I41" s="157">
        <f t="shared" si="6"/>
        <v>0</v>
      </c>
      <c r="J41" s="919"/>
      <c r="L41" s="3035" t="s">
        <v>3265</v>
      </c>
      <c r="M41" s="1936">
        <v>0.25</v>
      </c>
      <c r="Z41" s="1035"/>
      <c r="AA41" s="1035"/>
      <c r="AB41" s="1035"/>
      <c r="AC41" s="1035"/>
      <c r="AD41" s="1035"/>
      <c r="AE41" s="1035"/>
      <c r="AF41" s="1035"/>
      <c r="AG41" s="1035"/>
      <c r="AH41" s="1035"/>
      <c r="AI41" s="1035"/>
      <c r="AJ41" s="1035"/>
    </row>
    <row r="42" spans="1:37" s="1034" customFormat="1" ht="13.5" thickBot="1">
      <c r="A42" s="1920"/>
      <c r="B42" s="1937" t="s">
        <v>2041</v>
      </c>
      <c r="C42" s="173">
        <f>ROUND(D5*C22*C23*C44*C28*F42,0)</f>
        <v>0</v>
      </c>
      <c r="D42" s="1922"/>
      <c r="E42" s="173">
        <f t="shared" si="4"/>
        <v>0</v>
      </c>
      <c r="F42" s="705">
        <f>SUMIF(修正!A57:A68,G2,修正!G57:G68)</f>
        <v>0.15</v>
      </c>
      <c r="G42" s="173">
        <f>ROUND(IF(E2="工业",C42*$M$42,C42*$M$41),0)</f>
        <v>0</v>
      </c>
      <c r="H42" s="173">
        <f t="shared" si="5"/>
        <v>0</v>
      </c>
      <c r="I42" s="173">
        <f t="shared" si="6"/>
        <v>0</v>
      </c>
      <c r="J42" s="1938"/>
      <c r="L42" s="1939" t="s">
        <v>1993</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2122</v>
      </c>
      <c r="C44" s="326">
        <f>ROUND(POWER(1+E44,H44-G44)*(POWER(1+E44,G44)-1)/(POWER(1+E44,H44)-1),4)</f>
        <v>0</v>
      </c>
      <c r="D44" s="157" t="s">
        <v>1999</v>
      </c>
      <c r="E44" s="1968">
        <f>G24</f>
        <v>0.05</v>
      </c>
      <c r="F44" s="157" t="s">
        <v>2008</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2042</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2043</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2044</v>
      </c>
      <c r="B49" s="1240" t="s">
        <v>2045</v>
      </c>
      <c r="C49" s="1240" t="s">
        <v>2046</v>
      </c>
      <c r="D49" s="1240" t="s">
        <v>2047</v>
      </c>
      <c r="E49" s="683" t="s">
        <v>2048</v>
      </c>
      <c r="F49" s="1948" t="s">
        <v>2049</v>
      </c>
      <c r="G49" s="1240" t="s">
        <v>310</v>
      </c>
      <c r="H49" s="1949" t="s">
        <v>2050</v>
      </c>
      <c r="I49" s="1240" t="s">
        <v>2051</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38.25">
      <c r="A50" s="1947" t="s">
        <v>2052</v>
      </c>
      <c r="B50" s="1950" t="str">
        <f>估价对象房地状况!C4</f>
        <v>估价对象位于XX商圈，周边商业氛围成熟，人流量大，商业繁华度好</v>
      </c>
      <c r="C50" s="1864"/>
      <c r="D50" s="981">
        <f t="shared" ref="D50:D58" si="7">SUMIF($J$49:$N$49,C50,J50:N50)</f>
        <v>0</v>
      </c>
      <c r="E50" s="684">
        <f>ROUND(SUM(D50:D58),4)</f>
        <v>0</v>
      </c>
      <c r="F50" s="1652" t="str">
        <f>IF(E2="商业",SUMIF(L1:L12,G2,N1:N12),"——")</f>
        <v>——</v>
      </c>
      <c r="G50" s="979"/>
      <c r="H50" s="982" t="str">
        <f t="shared" ref="H50:H58" si="8">IFERROR(ROUNDDOWN($F$50*I50/2,4),"——")</f>
        <v>——</v>
      </c>
      <c r="I50" s="3041">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38.25">
      <c r="A51" s="1947" t="s">
        <v>2053</v>
      </c>
      <c r="B51" s="1240" t="str">
        <f>估价对象房地状况!C18</f>
        <v>估价对象周边道路状况、公共交通通达情况、停车便捷程度，综合评价交通便捷度较好</v>
      </c>
      <c r="C51" s="1864"/>
      <c r="D51" s="981">
        <f t="shared" si="7"/>
        <v>0</v>
      </c>
      <c r="E51" s="685"/>
      <c r="F51" s="1652"/>
      <c r="G51" s="979"/>
      <c r="H51" s="982" t="str">
        <f t="shared" si="8"/>
        <v>——</v>
      </c>
      <c r="I51" s="3041">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3" t="s">
        <v>3267</v>
      </c>
      <c r="B52" s="1240">
        <f>估价对象房地状况!C19</f>
        <v>0</v>
      </c>
      <c r="C52" s="1864"/>
      <c r="D52" s="981">
        <f t="shared" si="7"/>
        <v>0</v>
      </c>
      <c r="E52" s="685"/>
      <c r="F52" s="1652"/>
      <c r="G52" s="979"/>
      <c r="H52" s="982" t="str">
        <f t="shared" si="8"/>
        <v>——</v>
      </c>
      <c r="I52" s="3041">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2054</v>
      </c>
      <c r="B53" s="1951" t="s">
        <v>2055</v>
      </c>
      <c r="C53" s="1864"/>
      <c r="D53" s="981">
        <f t="shared" si="7"/>
        <v>0</v>
      </c>
      <c r="E53" s="685"/>
      <c r="F53" s="1652"/>
      <c r="G53" s="979"/>
      <c r="H53" s="982" t="str">
        <f t="shared" si="8"/>
        <v>——</v>
      </c>
      <c r="I53" s="3041">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2056</v>
      </c>
      <c r="B54" s="1240">
        <f>估价对象房地状况!C24</f>
        <v>0</v>
      </c>
      <c r="C54" s="1864"/>
      <c r="D54" s="981">
        <f t="shared" si="7"/>
        <v>0</v>
      </c>
      <c r="E54" s="685"/>
      <c r="F54" s="1652"/>
      <c r="G54" s="979"/>
      <c r="H54" s="982" t="str">
        <f t="shared" si="8"/>
        <v>——</v>
      </c>
      <c r="I54" s="3041">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2057</v>
      </c>
      <c r="B55" s="1952" t="s">
        <v>2058</v>
      </c>
      <c r="C55" s="1864"/>
      <c r="D55" s="981">
        <f t="shared" si="7"/>
        <v>0</v>
      </c>
      <c r="E55" s="685"/>
      <c r="F55" s="1652"/>
      <c r="G55" s="979"/>
      <c r="H55" s="982" t="str">
        <f t="shared" si="8"/>
        <v>——</v>
      </c>
      <c r="I55" s="3041">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5.5">
      <c r="A56" s="1953" t="s">
        <v>2059</v>
      </c>
      <c r="B56" s="1218" t="str">
        <f>估价对象房地状况!C21</f>
        <v>估价对象所在区域公共配套设施齐备情况</v>
      </c>
      <c r="C56" s="1864"/>
      <c r="D56" s="981">
        <f t="shared" si="7"/>
        <v>0</v>
      </c>
      <c r="E56" s="685"/>
      <c r="F56" s="1652"/>
      <c r="G56" s="979"/>
      <c r="H56" s="982" t="str">
        <f t="shared" si="8"/>
        <v>——</v>
      </c>
      <c r="I56" s="3041">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5.5">
      <c r="A57" s="1953" t="s">
        <v>2060</v>
      </c>
      <c r="B57" s="1240" t="str">
        <f>估价对象房地状况!C22</f>
        <v>估价对象所在区域基础设施水平</v>
      </c>
      <c r="C57" s="1864"/>
      <c r="D57" s="981">
        <f t="shared" si="7"/>
        <v>0</v>
      </c>
      <c r="E57" s="685"/>
      <c r="F57" s="1652"/>
      <c r="G57" s="979"/>
      <c r="H57" s="982" t="str">
        <f t="shared" si="8"/>
        <v>——</v>
      </c>
      <c r="I57" s="3041">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6.25" thickBot="1">
      <c r="A58" s="1954" t="s">
        <v>2061</v>
      </c>
      <c r="B58" s="1955" t="str">
        <f>估价对象房地状况!C20</f>
        <v>区域自然环境：；人文环境；综合评价环境状况一般</v>
      </c>
      <c r="C58" s="1864"/>
      <c r="D58" s="981">
        <f t="shared" si="7"/>
        <v>0</v>
      </c>
      <c r="E58" s="686"/>
      <c r="F58" s="1652"/>
      <c r="G58" s="979"/>
      <c r="H58" s="982" t="str">
        <f t="shared" si="8"/>
        <v>——</v>
      </c>
      <c r="I58" s="3042">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2062</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2044</v>
      </c>
      <c r="B60" s="1240"/>
      <c r="C60" s="1240" t="s">
        <v>2046</v>
      </c>
      <c r="D60" s="1240" t="s">
        <v>2047</v>
      </c>
      <c r="E60" s="683" t="s">
        <v>2048</v>
      </c>
      <c r="F60" s="1948" t="s">
        <v>2063</v>
      </c>
      <c r="G60" s="1240" t="s">
        <v>310</v>
      </c>
      <c r="H60" s="1949" t="s">
        <v>2050</v>
      </c>
      <c r="I60" s="1240" t="s">
        <v>2051</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38.25">
      <c r="A61" s="1947" t="s">
        <v>2064</v>
      </c>
      <c r="B61" s="1950" t="str">
        <f>估价对象房地状况!C17</f>
        <v>估价对象位于XX商圈，周边办公楼项目较多，入驻率高，办公集聚程度较好</v>
      </c>
      <c r="C61" s="1864"/>
      <c r="D61" s="981">
        <f t="shared" ref="D61:D69" si="12">SUMIF($J$60:$N$60,C61,J61:N61)</f>
        <v>0</v>
      </c>
      <c r="E61" s="684">
        <f>ROUND(SUM(D61:D69),4)</f>
        <v>0</v>
      </c>
      <c r="F61" s="1652" t="str">
        <f>IF(E2="办公",SUMIF(L1:L12,G2,N1:N12),"——")</f>
        <v>——</v>
      </c>
      <c r="G61" s="979"/>
      <c r="H61" s="982" t="str">
        <f t="shared" ref="H61:H69" si="13">IFERROR(ROUNDDOWN($F$61*I61/2,4),"——")</f>
        <v>——</v>
      </c>
      <c r="I61" s="3041">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38.25">
      <c r="A62" s="1947" t="s">
        <v>2053</v>
      </c>
      <c r="B62" s="1240" t="str">
        <f>估价对象房地状况!C18</f>
        <v>估价对象周边道路状况、公共交通通达情况、停车便捷程度，综合评价交通便捷度较好</v>
      </c>
      <c r="C62" s="1864"/>
      <c r="D62" s="981">
        <f t="shared" si="12"/>
        <v>0</v>
      </c>
      <c r="E62" s="685"/>
      <c r="F62" s="1652"/>
      <c r="G62" s="979"/>
      <c r="H62" s="982" t="str">
        <f t="shared" si="13"/>
        <v>——</v>
      </c>
      <c r="I62" s="3041">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3" t="s">
        <v>3267</v>
      </c>
      <c r="B63" s="1240">
        <f>估价对象房地状况!C19</f>
        <v>0</v>
      </c>
      <c r="C63" s="1864"/>
      <c r="D63" s="981">
        <f t="shared" si="12"/>
        <v>0</v>
      </c>
      <c r="E63" s="685"/>
      <c r="F63" s="1652"/>
      <c r="G63" s="979"/>
      <c r="H63" s="982" t="str">
        <f t="shared" si="13"/>
        <v>——</v>
      </c>
      <c r="I63" s="3041">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2054</v>
      </c>
      <c r="B64" s="1951" t="s">
        <v>2055</v>
      </c>
      <c r="C64" s="1864"/>
      <c r="D64" s="981">
        <f t="shared" si="12"/>
        <v>0</v>
      </c>
      <c r="E64" s="685"/>
      <c r="F64" s="1652"/>
      <c r="G64" s="979"/>
      <c r="H64" s="982" t="str">
        <f t="shared" si="13"/>
        <v>——</v>
      </c>
      <c r="I64" s="3041">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2056</v>
      </c>
      <c r="B65" s="1240">
        <f>估价对象房地状况!C24</f>
        <v>0</v>
      </c>
      <c r="C65" s="1864"/>
      <c r="D65" s="981">
        <f t="shared" si="12"/>
        <v>0</v>
      </c>
      <c r="E65" s="685"/>
      <c r="F65" s="1652"/>
      <c r="G65" s="979"/>
      <c r="H65" s="982" t="str">
        <f t="shared" si="13"/>
        <v>——</v>
      </c>
      <c r="I65" s="3041">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2057</v>
      </c>
      <c r="B66" s="1952" t="s">
        <v>2058</v>
      </c>
      <c r="C66" s="1864"/>
      <c r="D66" s="981">
        <f t="shared" si="12"/>
        <v>0</v>
      </c>
      <c r="E66" s="685"/>
      <c r="F66" s="1652"/>
      <c r="G66" s="979"/>
      <c r="H66" s="982" t="str">
        <f t="shared" si="13"/>
        <v>——</v>
      </c>
      <c r="I66" s="3041">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5.5">
      <c r="A67" s="1947" t="s">
        <v>2059</v>
      </c>
      <c r="B67" s="1218" t="str">
        <f>估价对象房地状况!C21</f>
        <v>估价对象所在区域公共配套设施齐备情况</v>
      </c>
      <c r="C67" s="1864"/>
      <c r="D67" s="981">
        <f t="shared" si="12"/>
        <v>0</v>
      </c>
      <c r="E67" s="685"/>
      <c r="F67" s="1652"/>
      <c r="G67" s="979"/>
      <c r="H67" s="982" t="str">
        <f t="shared" si="13"/>
        <v>——</v>
      </c>
      <c r="I67" s="3041">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5.5">
      <c r="A68" s="1947" t="s">
        <v>2060</v>
      </c>
      <c r="B68" s="1218" t="str">
        <f>估价对象房地状况!C22</f>
        <v>估价对象所在区域基础设施水平</v>
      </c>
      <c r="C68" s="1864"/>
      <c r="D68" s="981">
        <f t="shared" si="12"/>
        <v>0</v>
      </c>
      <c r="E68" s="685"/>
      <c r="F68" s="1652"/>
      <c r="G68" s="979"/>
      <c r="H68" s="982" t="str">
        <f t="shared" si="13"/>
        <v>——</v>
      </c>
      <c r="I68" s="3041">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6.25" thickBot="1">
      <c r="A69" s="1954" t="s">
        <v>2061</v>
      </c>
      <c r="B69" s="1956" t="str">
        <f>估价对象房地状况!C20</f>
        <v>区域自然环境：；人文环境；综合评价环境状况一般</v>
      </c>
      <c r="C69" s="1864"/>
      <c r="D69" s="981">
        <f t="shared" si="12"/>
        <v>0</v>
      </c>
      <c r="E69" s="686"/>
      <c r="F69" s="1652"/>
      <c r="G69" s="979"/>
      <c r="H69" s="982" t="str">
        <f t="shared" si="13"/>
        <v>——</v>
      </c>
      <c r="I69" s="3042">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2065</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2044</v>
      </c>
      <c r="B71" s="1240"/>
      <c r="C71" s="1240" t="s">
        <v>2046</v>
      </c>
      <c r="D71" s="1240" t="s">
        <v>2047</v>
      </c>
      <c r="E71" s="683" t="s">
        <v>2048</v>
      </c>
      <c r="F71" s="1948" t="s">
        <v>2063</v>
      </c>
      <c r="G71" s="1240" t="s">
        <v>310</v>
      </c>
      <c r="H71" s="1949" t="s">
        <v>2050</v>
      </c>
      <c r="I71" s="1240" t="s">
        <v>2051</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51">
      <c r="A72" s="1947" t="s">
        <v>2066</v>
      </c>
      <c r="B72" s="1950" t="str">
        <f>估价对象房地状况!C15</f>
        <v>估价对象周边居住用地比例、居住小区规模和社区发展完善程度，综合评价居住社区成熟度一般</v>
      </c>
      <c r="C72" s="1864"/>
      <c r="D72" s="981">
        <f t="shared" ref="D72:D80" si="17">SUMIF($J$71:$N$71,C72,J72:N72)</f>
        <v>0</v>
      </c>
      <c r="E72" s="684">
        <f>ROUND(SUM(D72:D80),4)</f>
        <v>0</v>
      </c>
      <c r="F72" s="1652" t="str">
        <f>IF(E2="住宅",SUMIF(L1:L12,G2,N1:N12),"——")</f>
        <v>——</v>
      </c>
      <c r="G72" s="979"/>
      <c r="H72" s="982" t="str">
        <f t="shared" ref="H72:H80" si="18">IFERROR(ROUNDDOWN($F$72*I72/2,4),"——")</f>
        <v>——</v>
      </c>
      <c r="I72" s="3041">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38.25">
      <c r="A73" s="1947" t="s">
        <v>2053</v>
      </c>
      <c r="B73" s="1240" t="str">
        <f>估价对象房地状况!C18</f>
        <v>估价对象周边道路状况、公共交通通达情况、停车便捷程度，综合评价交通便捷度较好</v>
      </c>
      <c r="C73" s="1864"/>
      <c r="D73" s="981">
        <f t="shared" si="17"/>
        <v>0</v>
      </c>
      <c r="E73" s="687"/>
      <c r="F73" s="1652"/>
      <c r="G73" s="979"/>
      <c r="H73" s="982" t="str">
        <f t="shared" si="18"/>
        <v>——</v>
      </c>
      <c r="I73" s="3041">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3" t="s">
        <v>3267</v>
      </c>
      <c r="B74" s="1240">
        <f>估价对象房地状况!C19</f>
        <v>0</v>
      </c>
      <c r="C74" s="1864"/>
      <c r="D74" s="981">
        <f t="shared" si="17"/>
        <v>0</v>
      </c>
      <c r="E74" s="687"/>
      <c r="F74" s="1652"/>
      <c r="G74" s="979"/>
      <c r="H74" s="982" t="str">
        <f t="shared" si="18"/>
        <v>——</v>
      </c>
      <c r="I74" s="3041">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2067</v>
      </c>
      <c r="B75" s="1240">
        <f>估价对象房地状况!C24</f>
        <v>0</v>
      </c>
      <c r="C75" s="1864"/>
      <c r="D75" s="981">
        <f t="shared" si="17"/>
        <v>0</v>
      </c>
      <c r="E75" s="687"/>
      <c r="F75" s="1652"/>
      <c r="G75" s="979"/>
      <c r="H75" s="982" t="str">
        <f t="shared" si="18"/>
        <v>——</v>
      </c>
      <c r="I75" s="3041">
        <v>0.05</v>
      </c>
      <c r="J75" s="980">
        <f t="shared" si="19"/>
        <v>0</v>
      </c>
      <c r="K75" s="980">
        <f t="shared" si="20"/>
        <v>0</v>
      </c>
      <c r="L75" s="980">
        <v>0</v>
      </c>
      <c r="M75" s="980">
        <f t="shared" si="21"/>
        <v>0</v>
      </c>
      <c r="N75" s="980">
        <f t="shared" si="21"/>
        <v>0</v>
      </c>
      <c r="O75" s="1034"/>
      <c r="P75" s="1034"/>
      <c r="Q75" s="1821"/>
      <c r="Z75" s="1822"/>
      <c r="AA75" s="1872"/>
      <c r="AG75" s="1036"/>
      <c r="AK75" s="1872"/>
    </row>
    <row r="76" spans="1:37" ht="25.5">
      <c r="A76" s="1947" t="s">
        <v>2059</v>
      </c>
      <c r="B76" s="1218" t="str">
        <f>估价对象房地状况!C21</f>
        <v>估价对象所在区域公共配套设施齐备情况</v>
      </c>
      <c r="C76" s="1864"/>
      <c r="D76" s="981">
        <f t="shared" si="17"/>
        <v>0</v>
      </c>
      <c r="E76" s="687"/>
      <c r="F76" s="1652"/>
      <c r="G76" s="979"/>
      <c r="H76" s="982" t="str">
        <f t="shared" si="18"/>
        <v>——</v>
      </c>
      <c r="I76" s="3041">
        <v>0.08</v>
      </c>
      <c r="J76" s="980">
        <f t="shared" si="19"/>
        <v>0</v>
      </c>
      <c r="K76" s="980">
        <f t="shared" si="20"/>
        <v>0</v>
      </c>
      <c r="L76" s="980">
        <v>0</v>
      </c>
      <c r="M76" s="980">
        <f t="shared" si="21"/>
        <v>0</v>
      </c>
      <c r="N76" s="980">
        <f t="shared" si="21"/>
        <v>0</v>
      </c>
      <c r="O76" s="1034"/>
      <c r="P76" s="1034"/>
      <c r="Z76" s="1822"/>
      <c r="AA76" s="1872"/>
      <c r="AG76" s="1036"/>
      <c r="AK76" s="1872"/>
    </row>
    <row r="77" spans="1:37" ht="25.5">
      <c r="A77" s="1947" t="s">
        <v>2060</v>
      </c>
      <c r="B77" s="1218" t="str">
        <f>估价对象房地状况!C22</f>
        <v>估价对象所在区域基础设施水平</v>
      </c>
      <c r="C77" s="1864"/>
      <c r="D77" s="981">
        <f t="shared" si="17"/>
        <v>0</v>
      </c>
      <c r="E77" s="687"/>
      <c r="F77" s="1652"/>
      <c r="G77" s="979"/>
      <c r="H77" s="982" t="str">
        <f t="shared" si="18"/>
        <v>——</v>
      </c>
      <c r="I77" s="3041">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2057</v>
      </c>
      <c r="B78" s="1952" t="s">
        <v>2058</v>
      </c>
      <c r="C78" s="1864"/>
      <c r="D78" s="981">
        <f t="shared" si="17"/>
        <v>0</v>
      </c>
      <c r="E78" s="687"/>
      <c r="F78" s="1652"/>
      <c r="G78" s="979"/>
      <c r="H78" s="982" t="str">
        <f t="shared" si="18"/>
        <v>——</v>
      </c>
      <c r="I78" s="3041">
        <v>0.05</v>
      </c>
      <c r="J78" s="980">
        <f t="shared" si="19"/>
        <v>0</v>
      </c>
      <c r="K78" s="980">
        <f t="shared" si="20"/>
        <v>0</v>
      </c>
      <c r="L78" s="980">
        <v>0</v>
      </c>
      <c r="M78" s="980">
        <f t="shared" si="21"/>
        <v>0</v>
      </c>
      <c r="N78" s="980">
        <f t="shared" si="21"/>
        <v>0</v>
      </c>
      <c r="O78" s="1821"/>
      <c r="P78" s="1821"/>
      <c r="Z78" s="1822"/>
      <c r="AA78" s="1872"/>
      <c r="AG78" s="1036"/>
      <c r="AK78" s="1872"/>
    </row>
    <row r="79" spans="1:37" ht="25.5">
      <c r="A79" s="1947" t="s">
        <v>2061</v>
      </c>
      <c r="B79" s="1950" t="str">
        <f>估价对象房地状况!C20</f>
        <v>区域自然环境：；人文环境；综合评价环境状况一般</v>
      </c>
      <c r="C79" s="1864"/>
      <c r="D79" s="981">
        <f t="shared" si="17"/>
        <v>0</v>
      </c>
      <c r="E79" s="687"/>
      <c r="F79" s="1652"/>
      <c r="G79" s="979"/>
      <c r="H79" s="982" t="str">
        <f t="shared" si="18"/>
        <v>——</v>
      </c>
      <c r="I79" s="3041">
        <v>0.12</v>
      </c>
      <c r="J79" s="980">
        <f t="shared" si="19"/>
        <v>0</v>
      </c>
      <c r="K79" s="980">
        <f t="shared" si="20"/>
        <v>0</v>
      </c>
      <c r="L79" s="980">
        <v>0</v>
      </c>
      <c r="M79" s="980">
        <f t="shared" si="21"/>
        <v>0</v>
      </c>
      <c r="N79" s="980">
        <f t="shared" si="21"/>
        <v>0</v>
      </c>
      <c r="Z79" s="1822"/>
      <c r="AA79" s="1872"/>
      <c r="AG79" s="1036"/>
      <c r="AK79" s="1872"/>
    </row>
    <row r="80" spans="1:37" ht="24.75" thickBot="1">
      <c r="A80" s="1954" t="s">
        <v>2068</v>
      </c>
      <c r="B80" s="1958"/>
      <c r="C80" s="1864"/>
      <c r="D80" s="981">
        <f t="shared" si="17"/>
        <v>0</v>
      </c>
      <c r="E80" s="688"/>
      <c r="F80" s="1652"/>
      <c r="G80" s="979"/>
      <c r="H80" s="982" t="str">
        <f t="shared" si="18"/>
        <v>——</v>
      </c>
      <c r="I80" s="3042">
        <v>0.05</v>
      </c>
      <c r="J80" s="980">
        <f t="shared" si="19"/>
        <v>0</v>
      </c>
      <c r="K80" s="980">
        <f t="shared" si="20"/>
        <v>0</v>
      </c>
      <c r="L80" s="980">
        <v>0</v>
      </c>
      <c r="M80" s="980">
        <f t="shared" si="21"/>
        <v>0</v>
      </c>
      <c r="N80" s="980">
        <f t="shared" si="21"/>
        <v>0</v>
      </c>
      <c r="Z80" s="1822"/>
      <c r="AA80" s="1872"/>
      <c r="AG80" s="1036"/>
      <c r="AK80" s="1872"/>
    </row>
    <row r="81" spans="1:37" ht="15">
      <c r="A81" s="1944" t="s">
        <v>2069</v>
      </c>
      <c r="B81" s="1945">
        <f>1+E83</f>
        <v>1.0225</v>
      </c>
      <c r="C81" s="681"/>
      <c r="D81" s="681"/>
      <c r="E81" s="682"/>
      <c r="F81" s="1946"/>
      <c r="G81" s="3"/>
      <c r="H81" s="3"/>
      <c r="I81" s="3"/>
      <c r="J81" s="4"/>
      <c r="K81" s="4"/>
      <c r="L81" s="4"/>
      <c r="M81" s="4"/>
      <c r="N81" s="4"/>
      <c r="Z81" s="1822"/>
      <c r="AA81" s="1872"/>
      <c r="AG81" s="1036"/>
      <c r="AK81" s="1872"/>
    </row>
    <row r="82" spans="1:37" ht="24.75">
      <c r="A82" s="1947" t="s">
        <v>2044</v>
      </c>
      <c r="B82" s="1240"/>
      <c r="C82" s="1240" t="s">
        <v>2046</v>
      </c>
      <c r="D82" s="1240" t="s">
        <v>2047</v>
      </c>
      <c r="E82" s="683" t="s">
        <v>2048</v>
      </c>
      <c r="F82" s="1948" t="s">
        <v>2063</v>
      </c>
      <c r="G82" s="1240" t="s">
        <v>310</v>
      </c>
      <c r="H82" s="1949" t="s">
        <v>2050</v>
      </c>
      <c r="I82" s="1240" t="s">
        <v>2051</v>
      </c>
      <c r="J82" s="523" t="s">
        <v>1721</v>
      </c>
      <c r="K82" s="523" t="s">
        <v>1722</v>
      </c>
      <c r="L82" s="523" t="s">
        <v>1723</v>
      </c>
      <c r="M82" s="523" t="s">
        <v>1724</v>
      </c>
      <c r="N82" s="523" t="s">
        <v>1725</v>
      </c>
      <c r="Z82" s="1822"/>
      <c r="AA82" s="1872"/>
      <c r="AG82" s="1036"/>
      <c r="AK82" s="1872"/>
    </row>
    <row r="83" spans="1:37" ht="38.25">
      <c r="A83" s="1947" t="s">
        <v>2070</v>
      </c>
      <c r="B83" s="1240" t="str">
        <f>估价对象房地状况!G15</f>
        <v>估价对象位于XX开发区，园区建设成熟度XX，产业集聚程度XX</v>
      </c>
      <c r="C83" s="1864" t="s">
        <v>3394</v>
      </c>
      <c r="D83" s="981">
        <f t="shared" ref="D83:D90" si="22">SUMIF($J$82:$N$82,C83,J83:N83)</f>
        <v>6.4999999999999997E-3</v>
      </c>
      <c r="E83" s="684">
        <f>ROUND(SUM(D83:D90),4)</f>
        <v>2.2499999999999999E-2</v>
      </c>
      <c r="F83" s="1652">
        <f>IF(E2="工业",SUMIF(L1:L12,G2,N1:N12),"——")</f>
        <v>0.05</v>
      </c>
      <c r="G83" s="979">
        <f>H83</f>
        <v>6.4999999999999997E-3</v>
      </c>
      <c r="H83" s="982">
        <f t="shared" ref="H83:H90" si="23">IFERROR(ROUNDDOWN($F$83*I83/2,4),"——")</f>
        <v>6.4999999999999997E-3</v>
      </c>
      <c r="I83" s="3041">
        <v>0.26</v>
      </c>
      <c r="J83" s="980">
        <f t="shared" ref="J83:J90" si="24">K83+$G83</f>
        <v>1.2999999999999999E-2</v>
      </c>
      <c r="K83" s="980">
        <f t="shared" ref="K83:K90" si="25">$L83+$G83</f>
        <v>6.4999999999999997E-3</v>
      </c>
      <c r="L83" s="980">
        <v>0</v>
      </c>
      <c r="M83" s="980">
        <f t="shared" ref="M83:N90" si="26">L83-$G83</f>
        <v>-6.4999999999999997E-3</v>
      </c>
      <c r="N83" s="980">
        <f t="shared" si="26"/>
        <v>-1.2999999999999999E-2</v>
      </c>
      <c r="Z83" s="1822"/>
      <c r="AA83" s="1872"/>
      <c r="AG83" s="1036"/>
      <c r="AK83" s="1872"/>
    </row>
    <row r="84" spans="1:37" ht="38.25">
      <c r="A84" s="1947" t="s">
        <v>2053</v>
      </c>
      <c r="B84" s="1240" t="str">
        <f>估价对象房地状况!G16</f>
        <v>估价对象周边道路状况、公共交通通达情况、停车便捷程度，综合评价交通便捷度较好</v>
      </c>
      <c r="C84" s="1864" t="s">
        <v>3394</v>
      </c>
      <c r="D84" s="981">
        <f t="shared" si="22"/>
        <v>7.4999999999999997E-3</v>
      </c>
      <c r="E84" s="687"/>
      <c r="F84" s="1652"/>
      <c r="G84" s="979">
        <f t="shared" ref="G84:G90" si="27">H84</f>
        <v>7.4999999999999997E-3</v>
      </c>
      <c r="H84" s="982">
        <f t="shared" si="23"/>
        <v>7.4999999999999997E-3</v>
      </c>
      <c r="I84" s="3041">
        <v>0.3</v>
      </c>
      <c r="J84" s="980">
        <f t="shared" si="24"/>
        <v>1.4999999999999999E-2</v>
      </c>
      <c r="K84" s="980">
        <f t="shared" si="25"/>
        <v>7.4999999999999997E-3</v>
      </c>
      <c r="L84" s="980">
        <v>0</v>
      </c>
      <c r="M84" s="980">
        <f t="shared" si="26"/>
        <v>-7.4999999999999997E-3</v>
      </c>
      <c r="N84" s="980">
        <f t="shared" si="26"/>
        <v>-1.4999999999999999E-2</v>
      </c>
      <c r="Z84" s="1822"/>
      <c r="AA84" s="1872"/>
      <c r="AG84" s="1036"/>
      <c r="AK84" s="1872"/>
    </row>
    <row r="85" spans="1:37" ht="36">
      <c r="A85" s="3043" t="s">
        <v>3268</v>
      </c>
      <c r="B85" s="1240">
        <f>估价对象房地状况!G17</f>
        <v>0</v>
      </c>
      <c r="C85" s="1864" t="s">
        <v>3394</v>
      </c>
      <c r="D85" s="981">
        <f t="shared" si="22"/>
        <v>2.5000000000000001E-3</v>
      </c>
      <c r="E85" s="687"/>
      <c r="F85" s="1652"/>
      <c r="G85" s="979">
        <f t="shared" si="27"/>
        <v>2.5000000000000001E-3</v>
      </c>
      <c r="H85" s="982">
        <f t="shared" si="23"/>
        <v>2.5000000000000001E-3</v>
      </c>
      <c r="I85" s="3041">
        <v>0.1</v>
      </c>
      <c r="J85" s="980">
        <f t="shared" si="24"/>
        <v>5.0000000000000001E-3</v>
      </c>
      <c r="K85" s="980">
        <f t="shared" si="25"/>
        <v>2.5000000000000001E-3</v>
      </c>
      <c r="L85" s="980">
        <v>0</v>
      </c>
      <c r="M85" s="980">
        <f t="shared" si="26"/>
        <v>-2.5000000000000001E-3</v>
      </c>
      <c r="N85" s="980">
        <f t="shared" si="26"/>
        <v>-5.0000000000000001E-3</v>
      </c>
      <c r="Z85" s="1822"/>
      <c r="AA85" s="1872"/>
      <c r="AG85" s="1036"/>
      <c r="AK85" s="1872"/>
    </row>
    <row r="86" spans="1:37" ht="14.25">
      <c r="A86" s="1947" t="s">
        <v>2067</v>
      </c>
      <c r="B86" s="1240">
        <f>估价对象房地状况!G22</f>
        <v>0</v>
      </c>
      <c r="C86" s="1864" t="s">
        <v>3395</v>
      </c>
      <c r="D86" s="981">
        <f t="shared" si="22"/>
        <v>0</v>
      </c>
      <c r="E86" s="687"/>
      <c r="F86" s="1652"/>
      <c r="G86" s="979">
        <f t="shared" si="27"/>
        <v>1.1999999999999999E-3</v>
      </c>
      <c r="H86" s="982">
        <f t="shared" si="23"/>
        <v>1.1999999999999999E-3</v>
      </c>
      <c r="I86" s="3041">
        <v>0.05</v>
      </c>
      <c r="J86" s="980">
        <f t="shared" si="24"/>
        <v>2.3999999999999998E-3</v>
      </c>
      <c r="K86" s="980">
        <f t="shared" si="25"/>
        <v>1.1999999999999999E-3</v>
      </c>
      <c r="L86" s="980">
        <v>0</v>
      </c>
      <c r="M86" s="980">
        <f t="shared" si="26"/>
        <v>-1.1999999999999999E-3</v>
      </c>
      <c r="N86" s="980">
        <f t="shared" si="26"/>
        <v>-2.3999999999999998E-3</v>
      </c>
      <c r="Z86" s="1822"/>
      <c r="AA86" s="1872"/>
      <c r="AG86" s="1036"/>
      <c r="AK86" s="1872"/>
    </row>
    <row r="87" spans="1:37" ht="25.5">
      <c r="A87" s="1947" t="s">
        <v>2059</v>
      </c>
      <c r="B87" s="1218" t="str">
        <f>估价对象房地状况!G19</f>
        <v>估价对象所在区域公共配套设施齐备情况</v>
      </c>
      <c r="C87" s="1864" t="s">
        <v>3394</v>
      </c>
      <c r="D87" s="981">
        <f t="shared" si="22"/>
        <v>1.5E-3</v>
      </c>
      <c r="E87" s="687"/>
      <c r="F87" s="1652"/>
      <c r="G87" s="979">
        <f t="shared" si="27"/>
        <v>1.5E-3</v>
      </c>
      <c r="H87" s="982">
        <f t="shared" si="23"/>
        <v>1.5E-3</v>
      </c>
      <c r="I87" s="3041">
        <v>0.06</v>
      </c>
      <c r="J87" s="980">
        <f t="shared" si="24"/>
        <v>3.0000000000000001E-3</v>
      </c>
      <c r="K87" s="980">
        <f t="shared" si="25"/>
        <v>1.5E-3</v>
      </c>
      <c r="L87" s="980">
        <v>0</v>
      </c>
      <c r="M87" s="980">
        <f t="shared" si="26"/>
        <v>-1.5E-3</v>
      </c>
      <c r="N87" s="980">
        <f t="shared" si="26"/>
        <v>-3.0000000000000001E-3</v>
      </c>
    </row>
    <row r="88" spans="1:37" ht="25.5">
      <c r="A88" s="1947" t="s">
        <v>2060</v>
      </c>
      <c r="B88" s="1218" t="str">
        <f>估价对象房地状况!G20</f>
        <v>估价对象所在区域基础设施水平</v>
      </c>
      <c r="C88" s="1864" t="s">
        <v>3394</v>
      </c>
      <c r="D88" s="981">
        <f t="shared" si="22"/>
        <v>3.0000000000000001E-3</v>
      </c>
      <c r="E88" s="687"/>
      <c r="F88" s="1652"/>
      <c r="G88" s="979">
        <f t="shared" si="27"/>
        <v>3.0000000000000001E-3</v>
      </c>
      <c r="H88" s="982">
        <f t="shared" si="23"/>
        <v>3.0000000000000001E-3</v>
      </c>
      <c r="I88" s="3041">
        <v>0.12</v>
      </c>
      <c r="J88" s="980">
        <f t="shared" si="24"/>
        <v>6.0000000000000001E-3</v>
      </c>
      <c r="K88" s="980">
        <f t="shared" si="25"/>
        <v>3.0000000000000001E-3</v>
      </c>
      <c r="L88" s="980">
        <v>0</v>
      </c>
      <c r="M88" s="980">
        <f t="shared" si="26"/>
        <v>-3.0000000000000001E-3</v>
      </c>
      <c r="N88" s="980">
        <f t="shared" si="26"/>
        <v>-6.0000000000000001E-3</v>
      </c>
    </row>
    <row r="89" spans="1:37" ht="24">
      <c r="A89" s="1947" t="s">
        <v>2057</v>
      </c>
      <c r="B89" s="1952" t="s">
        <v>2071</v>
      </c>
      <c r="C89" s="1864" t="s">
        <v>3394</v>
      </c>
      <c r="D89" s="981">
        <f t="shared" si="22"/>
        <v>1.5E-3</v>
      </c>
      <c r="E89" s="687"/>
      <c r="F89" s="1652"/>
      <c r="G89" s="979">
        <f t="shared" si="27"/>
        <v>1.5E-3</v>
      </c>
      <c r="H89" s="982">
        <f t="shared" si="23"/>
        <v>1.5E-3</v>
      </c>
      <c r="I89" s="3041">
        <v>0.06</v>
      </c>
      <c r="J89" s="980">
        <f t="shared" si="24"/>
        <v>3.0000000000000001E-3</v>
      </c>
      <c r="K89" s="980">
        <f t="shared" si="25"/>
        <v>1.5E-3</v>
      </c>
      <c r="L89" s="980">
        <v>0</v>
      </c>
      <c r="M89" s="980">
        <f t="shared" si="26"/>
        <v>-1.5E-3</v>
      </c>
      <c r="N89" s="980">
        <f t="shared" si="26"/>
        <v>-3.0000000000000001E-3</v>
      </c>
    </row>
    <row r="90" spans="1:37" ht="39" thickBot="1">
      <c r="A90" s="1954" t="s">
        <v>2072</v>
      </c>
      <c r="B90" s="1959" t="str">
        <f>估价对象房地状况!G18</f>
        <v>该园区内是否有污染型企业，绿化情况，卫生条件，整体环境状况判断</v>
      </c>
      <c r="C90" s="1864" t="s">
        <v>3395</v>
      </c>
      <c r="D90" s="981">
        <f t="shared" si="22"/>
        <v>0</v>
      </c>
      <c r="E90" s="688"/>
      <c r="F90" s="1652"/>
      <c r="G90" s="979">
        <f t="shared" si="27"/>
        <v>1.1999999999999999E-3</v>
      </c>
      <c r="H90" s="982">
        <f t="shared" si="23"/>
        <v>1.1999999999999999E-3</v>
      </c>
      <c r="I90" s="3042">
        <v>0.05</v>
      </c>
      <c r="J90" s="980">
        <f t="shared" si="24"/>
        <v>2.3999999999999998E-3</v>
      </c>
      <c r="K90" s="980">
        <f t="shared" si="25"/>
        <v>1.1999999999999999E-3</v>
      </c>
      <c r="L90" s="980">
        <v>0</v>
      </c>
      <c r="M90" s="980">
        <f t="shared" si="26"/>
        <v>-1.1999999999999999E-3</v>
      </c>
      <c r="N90" s="980">
        <f t="shared" si="26"/>
        <v>-2.3999999999999998E-3</v>
      </c>
    </row>
    <row r="91" spans="1:37" ht="15">
      <c r="A91" s="3051" t="s">
        <v>2610</v>
      </c>
      <c r="B91" s="3052">
        <f>1+E93</f>
        <v>1</v>
      </c>
      <c r="C91" s="3045"/>
      <c r="D91" s="3046"/>
      <c r="E91" s="1652"/>
      <c r="F91" s="1652"/>
      <c r="G91" s="3047"/>
      <c r="H91" s="3048"/>
      <c r="I91" s="3049"/>
      <c r="J91" s="3050"/>
      <c r="K91" s="3050"/>
      <c r="L91" s="3050"/>
      <c r="M91" s="3050"/>
      <c r="N91" s="3050"/>
    </row>
    <row r="92" spans="1:37" ht="24.75">
      <c r="A92" s="3053" t="s">
        <v>3269</v>
      </c>
      <c r="B92" s="2287"/>
      <c r="C92" s="2287" t="s">
        <v>3278</v>
      </c>
      <c r="D92" s="2287" t="s">
        <v>3279</v>
      </c>
      <c r="E92" s="3025" t="s">
        <v>3280</v>
      </c>
      <c r="F92" s="3055" t="s">
        <v>3281</v>
      </c>
      <c r="G92" s="2287" t="s">
        <v>3282</v>
      </c>
      <c r="H92" s="3062" t="s">
        <v>3285</v>
      </c>
      <c r="I92" s="2287" t="s">
        <v>3286</v>
      </c>
      <c r="J92" s="2127" t="s">
        <v>3287</v>
      </c>
      <c r="K92" s="2127" t="s">
        <v>3288</v>
      </c>
      <c r="L92" s="2127" t="s">
        <v>3289</v>
      </c>
      <c r="M92" s="2127" t="s">
        <v>3290</v>
      </c>
      <c r="N92" s="2127" t="s">
        <v>3291</v>
      </c>
    </row>
    <row r="93" spans="1:37" ht="24">
      <c r="A93" s="3043" t="s">
        <v>3270</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8">K93+$G93</f>
        <v>0</v>
      </c>
      <c r="K93" s="1889">
        <f t="shared" ref="K93:K101" si="29">$L93+$G93</f>
        <v>0</v>
      </c>
      <c r="L93" s="1889">
        <v>0</v>
      </c>
      <c r="M93" s="1889">
        <f t="shared" ref="M93:N101" si="30">L93-$G93</f>
        <v>0</v>
      </c>
      <c r="N93" s="1889">
        <f t="shared" si="30"/>
        <v>0</v>
      </c>
    </row>
    <row r="94" spans="1:37" ht="38.25">
      <c r="A94" s="3053" t="s">
        <v>3271</v>
      </c>
      <c r="B94" s="3044" t="str">
        <f>估价对象房地状况!C18</f>
        <v>估价对象周边道路状况、公共交通通达情况、停车便捷程度，综合评价交通便捷度较好</v>
      </c>
      <c r="C94" s="1864"/>
      <c r="D94" s="2287">
        <f t="shared" ref="D94:D101" si="31">SUMIF($J$60:$N$60,C94,J94:N94)</f>
        <v>0</v>
      </c>
      <c r="E94" s="3057"/>
      <c r="F94" s="1652"/>
      <c r="G94" s="3047"/>
      <c r="H94" s="3092" t="str">
        <f>IFERROR(ROUNDDOWN($F$93*I94/2,4),"——")</f>
        <v>——</v>
      </c>
      <c r="I94" s="3041">
        <v>0.26</v>
      </c>
      <c r="J94" s="1889">
        <f t="shared" si="28"/>
        <v>0</v>
      </c>
      <c r="K94" s="1889">
        <f t="shared" si="29"/>
        <v>0</v>
      </c>
      <c r="L94" s="1889">
        <v>0</v>
      </c>
      <c r="M94" s="1889">
        <f t="shared" si="30"/>
        <v>0</v>
      </c>
      <c r="N94" s="1889">
        <f t="shared" si="30"/>
        <v>0</v>
      </c>
    </row>
    <row r="95" spans="1:37" ht="36">
      <c r="A95" s="3043" t="s">
        <v>3267</v>
      </c>
      <c r="B95" s="3044">
        <f>估价对象房地状况!C19</f>
        <v>0</v>
      </c>
      <c r="C95" s="1864"/>
      <c r="D95" s="2287">
        <f t="shared" si="31"/>
        <v>0</v>
      </c>
      <c r="E95" s="3057"/>
      <c r="F95" s="1652"/>
      <c r="G95" s="3047"/>
      <c r="H95" s="3092" t="str">
        <f t="shared" ref="H95:H101" si="32">IFERROR(ROUNDDOWN($F$93*I95/2,4),"——")</f>
        <v>——</v>
      </c>
      <c r="I95" s="3041">
        <v>0.11</v>
      </c>
      <c r="J95" s="1889">
        <f t="shared" si="28"/>
        <v>0</v>
      </c>
      <c r="K95" s="1889">
        <f t="shared" si="29"/>
        <v>0</v>
      </c>
      <c r="L95" s="1889">
        <v>0</v>
      </c>
      <c r="M95" s="1889">
        <f t="shared" si="30"/>
        <v>0</v>
      </c>
      <c r="N95" s="1889">
        <f t="shared" si="30"/>
        <v>0</v>
      </c>
    </row>
    <row r="96" spans="1:37" ht="36.75">
      <c r="A96" s="3053" t="s">
        <v>3272</v>
      </c>
      <c r="B96" s="3059" t="s">
        <v>3283</v>
      </c>
      <c r="C96" s="1864"/>
      <c r="D96" s="2287">
        <f t="shared" si="31"/>
        <v>0</v>
      </c>
      <c r="E96" s="3057"/>
      <c r="F96" s="1652"/>
      <c r="G96" s="3047"/>
      <c r="H96" s="3092" t="str">
        <f t="shared" si="32"/>
        <v>——</v>
      </c>
      <c r="I96" s="3041">
        <v>0.05</v>
      </c>
      <c r="J96" s="1889">
        <f t="shared" si="28"/>
        <v>0</v>
      </c>
      <c r="K96" s="1889">
        <f t="shared" si="29"/>
        <v>0</v>
      </c>
      <c r="L96" s="1889">
        <v>0</v>
      </c>
      <c r="M96" s="1889">
        <f t="shared" si="30"/>
        <v>0</v>
      </c>
      <c r="N96" s="1889">
        <f t="shared" si="30"/>
        <v>0</v>
      </c>
    </row>
    <row r="97" spans="1:14" ht="24">
      <c r="A97" s="3053" t="s">
        <v>3273</v>
      </c>
      <c r="B97" s="3044">
        <f>估价对象房地状况!C24</f>
        <v>0</v>
      </c>
      <c r="C97" s="1864"/>
      <c r="D97" s="2287">
        <f t="shared" si="31"/>
        <v>0</v>
      </c>
      <c r="E97" s="3057"/>
      <c r="F97" s="1652"/>
      <c r="G97" s="3047"/>
      <c r="H97" s="3092" t="str">
        <f t="shared" si="32"/>
        <v>——</v>
      </c>
      <c r="I97" s="3041">
        <v>0.05</v>
      </c>
      <c r="J97" s="1889">
        <f t="shared" si="28"/>
        <v>0</v>
      </c>
      <c r="K97" s="1889">
        <f t="shared" si="29"/>
        <v>0</v>
      </c>
      <c r="L97" s="1889">
        <v>0</v>
      </c>
      <c r="M97" s="1889">
        <f t="shared" si="30"/>
        <v>0</v>
      </c>
      <c r="N97" s="1889">
        <f t="shared" si="30"/>
        <v>0</v>
      </c>
    </row>
    <row r="98" spans="1:14" ht="24">
      <c r="A98" s="3053" t="s">
        <v>3274</v>
      </c>
      <c r="B98" s="3060" t="s">
        <v>3284</v>
      </c>
      <c r="C98" s="1864"/>
      <c r="D98" s="2287">
        <f t="shared" si="31"/>
        <v>0</v>
      </c>
      <c r="E98" s="3057"/>
      <c r="F98" s="1652"/>
      <c r="G98" s="3047"/>
      <c r="H98" s="3092" t="str">
        <f t="shared" si="32"/>
        <v>——</v>
      </c>
      <c r="I98" s="3041">
        <v>0.06</v>
      </c>
      <c r="J98" s="1889">
        <f t="shared" si="28"/>
        <v>0</v>
      </c>
      <c r="K98" s="1889">
        <f t="shared" si="29"/>
        <v>0</v>
      </c>
      <c r="L98" s="1889">
        <v>0</v>
      </c>
      <c r="M98" s="1889">
        <f t="shared" si="30"/>
        <v>0</v>
      </c>
      <c r="N98" s="1889">
        <f t="shared" si="30"/>
        <v>0</v>
      </c>
    </row>
    <row r="99" spans="1:14" ht="25.5">
      <c r="A99" s="3053" t="s">
        <v>3275</v>
      </c>
      <c r="B99" s="3044" t="str">
        <f>估价对象房地状况!C21</f>
        <v>估价对象所在区域公共配套设施齐备情况</v>
      </c>
      <c r="C99" s="1864"/>
      <c r="D99" s="2287">
        <f t="shared" si="31"/>
        <v>0</v>
      </c>
      <c r="E99" s="3057"/>
      <c r="F99" s="1652"/>
      <c r="G99" s="3047"/>
      <c r="H99" s="3092" t="str">
        <f t="shared" si="32"/>
        <v>——</v>
      </c>
      <c r="I99" s="3041">
        <v>0.06</v>
      </c>
      <c r="J99" s="1889">
        <f t="shared" si="28"/>
        <v>0</v>
      </c>
      <c r="K99" s="1889">
        <f t="shared" si="29"/>
        <v>0</v>
      </c>
      <c r="L99" s="1889">
        <v>0</v>
      </c>
      <c r="M99" s="1889">
        <f t="shared" si="30"/>
        <v>0</v>
      </c>
      <c r="N99" s="1889">
        <f t="shared" si="30"/>
        <v>0</v>
      </c>
    </row>
    <row r="100" spans="1:14" ht="25.5">
      <c r="A100" s="3053" t="s">
        <v>3276</v>
      </c>
      <c r="B100" s="3044" t="str">
        <f>估价对象房地状况!C22</f>
        <v>估价对象所在区域基础设施水平</v>
      </c>
      <c r="C100" s="1864"/>
      <c r="D100" s="2287">
        <f t="shared" si="31"/>
        <v>0</v>
      </c>
      <c r="E100" s="3057"/>
      <c r="F100" s="1652"/>
      <c r="G100" s="3047"/>
      <c r="H100" s="3092" t="str">
        <f t="shared" si="32"/>
        <v>——</v>
      </c>
      <c r="I100" s="3041">
        <v>0.09</v>
      </c>
      <c r="J100" s="1889">
        <f t="shared" si="28"/>
        <v>0</v>
      </c>
      <c r="K100" s="1889">
        <f t="shared" si="29"/>
        <v>0</v>
      </c>
      <c r="L100" s="1889">
        <v>0</v>
      </c>
      <c r="M100" s="1889">
        <f t="shared" si="30"/>
        <v>0</v>
      </c>
      <c r="N100" s="1889">
        <f t="shared" si="30"/>
        <v>0</v>
      </c>
    </row>
    <row r="101" spans="1:14" ht="26.25" thickBot="1">
      <c r="A101" s="3054" t="s">
        <v>3277</v>
      </c>
      <c r="B101" s="3061" t="str">
        <f>估价对象房地状况!C20</f>
        <v>区域自然环境：；人文环境；综合评价环境状况一般</v>
      </c>
      <c r="C101" s="1864"/>
      <c r="D101" s="2287">
        <f t="shared" si="31"/>
        <v>0</v>
      </c>
      <c r="E101" s="3058"/>
      <c r="F101" s="1652"/>
      <c r="G101" s="3047"/>
      <c r="H101" s="3092" t="str">
        <f t="shared" si="32"/>
        <v>——</v>
      </c>
      <c r="I101" s="3042">
        <v>7.0000000000000007E-2</v>
      </c>
      <c r="J101" s="1889">
        <f t="shared" si="28"/>
        <v>0</v>
      </c>
      <c r="K101" s="1889">
        <f t="shared" si="29"/>
        <v>0</v>
      </c>
      <c r="L101" s="1889">
        <v>0</v>
      </c>
      <c r="M101" s="1889">
        <f t="shared" si="30"/>
        <v>0</v>
      </c>
      <c r="N101" s="1889">
        <f t="shared" si="30"/>
        <v>0</v>
      </c>
    </row>
    <row r="103" spans="1:14">
      <c r="A103" s="3341" t="s">
        <v>3292</v>
      </c>
      <c r="B103" s="3341"/>
      <c r="C103" s="3341"/>
      <c r="D103" s="3341"/>
      <c r="E103" s="3341"/>
      <c r="F103" s="3341"/>
      <c r="G103" s="3341"/>
      <c r="H103" s="3341"/>
      <c r="I103" s="3341"/>
      <c r="J103" s="3341"/>
      <c r="K103" s="1644"/>
      <c r="L103" s="1644"/>
      <c r="M103" s="1644"/>
      <c r="N103" s="1644"/>
    </row>
    <row r="104" spans="1:14">
      <c r="A104" s="3342" t="s">
        <v>3293</v>
      </c>
      <c r="B104" s="3342" t="s">
        <v>3294</v>
      </c>
      <c r="C104" s="3063" t="s">
        <v>3295</v>
      </c>
      <c r="D104" s="3064"/>
      <c r="E104" s="3064"/>
      <c r="F104" s="3064"/>
      <c r="G104" s="3064"/>
      <c r="H104" s="3064"/>
      <c r="I104" s="3064"/>
      <c r="J104" s="3065"/>
      <c r="K104" s="3066"/>
      <c r="L104" s="3066"/>
      <c r="M104" s="3066"/>
      <c r="N104" s="3066"/>
    </row>
    <row r="105" spans="1:14">
      <c r="A105" s="3342"/>
      <c r="B105" s="3342"/>
      <c r="C105" s="3067" t="s">
        <v>3296</v>
      </c>
      <c r="D105" s="3067" t="s">
        <v>3297</v>
      </c>
      <c r="E105" s="3067" t="s">
        <v>3298</v>
      </c>
      <c r="F105" s="3067" t="s">
        <v>3299</v>
      </c>
      <c r="G105" s="3067" t="s">
        <v>3300</v>
      </c>
      <c r="H105" s="3067" t="s">
        <v>3301</v>
      </c>
      <c r="I105" s="3067" t="s">
        <v>3302</v>
      </c>
      <c r="J105" s="3067" t="s">
        <v>3303</v>
      </c>
      <c r="K105" s="3067" t="s">
        <v>3304</v>
      </c>
      <c r="L105" s="3067" t="s">
        <v>3305</v>
      </c>
      <c r="M105" s="3067" t="s">
        <v>3306</v>
      </c>
      <c r="N105" s="3067" t="s">
        <v>3307</v>
      </c>
    </row>
    <row r="106" spans="1:14">
      <c r="A106" s="3328" t="s">
        <v>3308</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329"/>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329"/>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329"/>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329"/>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329"/>
      <c r="B111" s="3067" t="s">
        <v>3266</v>
      </c>
      <c r="C111" s="3068">
        <f>$I$3</f>
        <v>0</v>
      </c>
      <c r="D111" s="3068">
        <f t="shared" ref="D111:M111" si="33">$I$3</f>
        <v>0</v>
      </c>
      <c r="E111" s="3068">
        <f t="shared" si="33"/>
        <v>0</v>
      </c>
      <c r="F111" s="3068">
        <f t="shared" si="33"/>
        <v>0</v>
      </c>
      <c r="G111" s="3068">
        <f t="shared" si="33"/>
        <v>0</v>
      </c>
      <c r="H111" s="3068">
        <f t="shared" si="33"/>
        <v>0</v>
      </c>
      <c r="I111" s="3068">
        <f t="shared" si="33"/>
        <v>0</v>
      </c>
      <c r="J111" s="3068">
        <f t="shared" si="33"/>
        <v>0</v>
      </c>
      <c r="K111" s="3068">
        <f t="shared" si="33"/>
        <v>0</v>
      </c>
      <c r="L111" s="3068">
        <f t="shared" si="33"/>
        <v>0</v>
      </c>
      <c r="M111" s="3068">
        <f t="shared" si="33"/>
        <v>0</v>
      </c>
      <c r="N111" s="3068">
        <f>$I$3</f>
        <v>0</v>
      </c>
    </row>
    <row r="112" spans="1:14">
      <c r="A112" s="3330"/>
      <c r="B112" s="3067">
        <v>6</v>
      </c>
      <c r="C112" s="3062">
        <f>(-0.5556*(C111^2)-0.2719*C111+8944)*(10^(-4))</f>
        <v>0.89440000000000008</v>
      </c>
      <c r="D112" s="3062">
        <f>(-0.5556*(D111^2)-0.2719*D111+8944)*(10^(-4))</f>
        <v>0.89440000000000008</v>
      </c>
      <c r="E112" s="3062">
        <f>(-0.7912*(E111^2)-11.3794*E111+8482)*(10^(-4))</f>
        <v>0.84820000000000007</v>
      </c>
      <c r="F112" s="3062">
        <f t="shared" ref="F112:I112" si="34">(-0.7912*(F111^2)-11.3794*F111+8482)*(10^(-4))</f>
        <v>0.84820000000000007</v>
      </c>
      <c r="G112" s="3062">
        <f t="shared" si="34"/>
        <v>0.84820000000000007</v>
      </c>
      <c r="H112" s="3062">
        <f t="shared" si="34"/>
        <v>0.84820000000000007</v>
      </c>
      <c r="I112" s="3062">
        <f t="shared" si="34"/>
        <v>0.84820000000000007</v>
      </c>
      <c r="J112" s="3062">
        <f>(-0.989*(J111^2)-63.78*J111+7771)*(10^(-4))</f>
        <v>0.77710000000000001</v>
      </c>
      <c r="K112" s="3062">
        <f t="shared" ref="K112:N112" si="35">(-0.989*(K111^2)-63.78*K111+7771)*(10^(-4))</f>
        <v>0.77710000000000001</v>
      </c>
      <c r="L112" s="3062">
        <f t="shared" si="35"/>
        <v>0.77710000000000001</v>
      </c>
      <c r="M112" s="3062">
        <f t="shared" si="35"/>
        <v>0.77710000000000001</v>
      </c>
      <c r="N112" s="3062">
        <f t="shared" si="35"/>
        <v>0.77710000000000001</v>
      </c>
    </row>
    <row r="113" spans="1:14">
      <c r="A113" s="3331" t="s">
        <v>3309</v>
      </c>
      <c r="B113" s="3331"/>
      <c r="C113" s="3331"/>
      <c r="D113" s="3331"/>
      <c r="E113" s="3331"/>
      <c r="F113" s="3331"/>
      <c r="G113" s="3331"/>
      <c r="H113" s="3331"/>
      <c r="I113" s="3331"/>
      <c r="J113" s="3331"/>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3310</v>
      </c>
      <c r="B116" s="3087">
        <f>G3</f>
        <v>1.02</v>
      </c>
      <c r="C116" s="3072" t="s">
        <v>3311</v>
      </c>
      <c r="D116" s="3073">
        <f>SUMPRODUCT((A118:A122=F116)*(B117:M117=H116)*B118:M122)</f>
        <v>0.64280000000000004</v>
      </c>
      <c r="E116" s="156" t="s">
        <v>3312</v>
      </c>
      <c r="F116" s="3074" t="str">
        <f>E2</f>
        <v>工业</v>
      </c>
      <c r="G116" s="156" t="s">
        <v>3313</v>
      </c>
      <c r="H116" s="3074" t="str">
        <f>G2</f>
        <v>七级</v>
      </c>
      <c r="I116" s="156"/>
      <c r="J116" s="3075"/>
      <c r="K116" s="3075"/>
      <c r="L116" s="3075"/>
      <c r="M116" s="3075"/>
      <c r="N116" s="3070"/>
    </row>
    <row r="117" spans="1:14">
      <c r="A117" s="3076"/>
      <c r="B117" s="3077" t="s">
        <v>3314</v>
      </c>
      <c r="C117" s="3077" t="s">
        <v>3315</v>
      </c>
      <c r="D117" s="3077" t="s">
        <v>3316</v>
      </c>
      <c r="E117" s="3078" t="s">
        <v>3317</v>
      </c>
      <c r="F117" s="3078" t="s">
        <v>3318</v>
      </c>
      <c r="G117" s="3078" t="s">
        <v>3319</v>
      </c>
      <c r="H117" s="3079" t="s">
        <v>3320</v>
      </c>
      <c r="I117" s="3079" t="s">
        <v>3321</v>
      </c>
      <c r="J117" s="3080" t="s">
        <v>3322</v>
      </c>
      <c r="K117" s="3080" t="s">
        <v>3323</v>
      </c>
      <c r="L117" s="3080" t="s">
        <v>3324</v>
      </c>
      <c r="M117" s="3081" t="s">
        <v>3325</v>
      </c>
      <c r="N117" s="3070"/>
    </row>
    <row r="118" spans="1:14">
      <c r="A118" s="3030" t="s">
        <v>3326</v>
      </c>
      <c r="B118" s="3062">
        <f>ROUND(0.9968-0.011*B116,4)</f>
        <v>0.98560000000000003</v>
      </c>
      <c r="C118" s="3062">
        <f>B118</f>
        <v>0.98560000000000003</v>
      </c>
      <c r="D118" s="3062">
        <f>ROUND(0.949-0.014*B116,4)</f>
        <v>0.93469999999999998</v>
      </c>
      <c r="E118" s="3062">
        <f>D118</f>
        <v>0.93469999999999998</v>
      </c>
      <c r="F118" s="3062">
        <f>E118</f>
        <v>0.93469999999999998</v>
      </c>
      <c r="G118" s="3062">
        <f>F118</f>
        <v>0.93469999999999998</v>
      </c>
      <c r="H118" s="3062">
        <f>G118</f>
        <v>0.93469999999999998</v>
      </c>
      <c r="I118" s="3062">
        <f>ROUND(0.8486-0.018*B116,4)</f>
        <v>0.83020000000000005</v>
      </c>
      <c r="J118" s="3062">
        <f t="shared" ref="J118:M122" si="36">I118</f>
        <v>0.83020000000000005</v>
      </c>
      <c r="K118" s="3062">
        <f t="shared" si="36"/>
        <v>0.83020000000000005</v>
      </c>
      <c r="L118" s="3062">
        <f t="shared" si="36"/>
        <v>0.83020000000000005</v>
      </c>
      <c r="M118" s="3082">
        <f t="shared" si="36"/>
        <v>0.83020000000000005</v>
      </c>
      <c r="N118" s="3070"/>
    </row>
    <row r="119" spans="1:14">
      <c r="A119" s="3030" t="s">
        <v>3327</v>
      </c>
      <c r="B119" s="3062">
        <f>ROUND(0.993-0.0112*B116,4)</f>
        <v>0.98160000000000003</v>
      </c>
      <c r="C119" s="3062">
        <f>B119</f>
        <v>0.98160000000000003</v>
      </c>
      <c r="D119" s="3062">
        <f>ROUND(0.9415-0.0142*B116,4)</f>
        <v>0.92700000000000005</v>
      </c>
      <c r="E119" s="3062">
        <f t="shared" ref="E119:H120" si="37">D119</f>
        <v>0.92700000000000005</v>
      </c>
      <c r="F119" s="3062">
        <f t="shared" si="37"/>
        <v>0.92700000000000005</v>
      </c>
      <c r="G119" s="3062">
        <f t="shared" si="37"/>
        <v>0.92700000000000005</v>
      </c>
      <c r="H119" s="3062">
        <f t="shared" si="37"/>
        <v>0.92700000000000005</v>
      </c>
      <c r="I119" s="3062">
        <f>ROUND(0.838-0.0182*B116,4)</f>
        <v>0.81940000000000002</v>
      </c>
      <c r="J119" s="3062">
        <f t="shared" si="36"/>
        <v>0.81940000000000002</v>
      </c>
      <c r="K119" s="3062">
        <f t="shared" si="36"/>
        <v>0.81940000000000002</v>
      </c>
      <c r="L119" s="3062">
        <f t="shared" si="36"/>
        <v>0.81940000000000002</v>
      </c>
      <c r="M119" s="3082">
        <f t="shared" si="36"/>
        <v>0.81940000000000002</v>
      </c>
      <c r="N119" s="3070"/>
    </row>
    <row r="120" spans="1:14">
      <c r="A120" s="3030" t="s">
        <v>3328</v>
      </c>
      <c r="B120" s="3062">
        <f>ROUND(0.9448-0.0115*B116,4)</f>
        <v>0.93310000000000004</v>
      </c>
      <c r="C120" s="3062">
        <f>B120</f>
        <v>0.93310000000000004</v>
      </c>
      <c r="D120" s="3062">
        <f>ROUND(0.937-0.0145*B116,4)</f>
        <v>0.92220000000000002</v>
      </c>
      <c r="E120" s="3062">
        <f t="shared" si="37"/>
        <v>0.92220000000000002</v>
      </c>
      <c r="F120" s="3062">
        <f t="shared" si="37"/>
        <v>0.92220000000000002</v>
      </c>
      <c r="G120" s="3062">
        <f t="shared" si="37"/>
        <v>0.92220000000000002</v>
      </c>
      <c r="H120" s="3062">
        <f t="shared" si="37"/>
        <v>0.92220000000000002</v>
      </c>
      <c r="I120" s="3062">
        <f>ROUND(0.7965-0.0185*B116,4)</f>
        <v>0.77759999999999996</v>
      </c>
      <c r="J120" s="3062">
        <f t="shared" si="36"/>
        <v>0.77759999999999996</v>
      </c>
      <c r="K120" s="3062">
        <f t="shared" si="36"/>
        <v>0.77759999999999996</v>
      </c>
      <c r="L120" s="3062">
        <f t="shared" si="36"/>
        <v>0.77759999999999996</v>
      </c>
      <c r="M120" s="3082">
        <f t="shared" si="36"/>
        <v>0.77759999999999996</v>
      </c>
      <c r="N120" s="3070"/>
    </row>
    <row r="121" spans="1:14" ht="13.5" thickBot="1">
      <c r="A121" s="3083" t="s">
        <v>3329</v>
      </c>
      <c r="B121" s="3084">
        <f>ROUND(0.7836-0.012*B116,4)</f>
        <v>0.77139999999999997</v>
      </c>
      <c r="C121" s="3084">
        <f>B121</f>
        <v>0.77139999999999997</v>
      </c>
      <c r="D121" s="3084">
        <f>ROUND(0.753-0.015*B116,4)</f>
        <v>0.73770000000000002</v>
      </c>
      <c r="E121" s="3084">
        <f>D121</f>
        <v>0.73770000000000002</v>
      </c>
      <c r="F121" s="3084">
        <f>E121</f>
        <v>0.73770000000000002</v>
      </c>
      <c r="G121" s="3084">
        <f>ROUND(0.6612-0.018*B116,4)</f>
        <v>0.64280000000000004</v>
      </c>
      <c r="H121" s="3084">
        <f>G121</f>
        <v>0.64280000000000004</v>
      </c>
      <c r="I121" s="3084">
        <f>ROUND(0.5905-0.019*B116,4)</f>
        <v>0.57110000000000005</v>
      </c>
      <c r="J121" s="3084">
        <f t="shared" si="36"/>
        <v>0.57110000000000005</v>
      </c>
      <c r="K121" s="3084">
        <f t="shared" si="36"/>
        <v>0.57110000000000005</v>
      </c>
      <c r="L121" s="3084">
        <f t="shared" si="36"/>
        <v>0.57110000000000005</v>
      </c>
      <c r="M121" s="3085">
        <f t="shared" si="36"/>
        <v>0.57110000000000005</v>
      </c>
      <c r="N121" s="3070"/>
    </row>
    <row r="122" spans="1:14">
      <c r="A122" s="3086" t="s">
        <v>2610</v>
      </c>
      <c r="B122" s="3062">
        <f>ROUND(0.9404-0.0106*B116,4)</f>
        <v>0.92959999999999998</v>
      </c>
      <c r="C122" s="3062">
        <f>B122</f>
        <v>0.92959999999999998</v>
      </c>
      <c r="D122" s="3062">
        <f>ROUND(0.8955-0.0135*B116,4)</f>
        <v>0.88170000000000004</v>
      </c>
      <c r="E122" s="3062">
        <f t="shared" ref="E122:H122" si="38">D122</f>
        <v>0.88170000000000004</v>
      </c>
      <c r="F122" s="3062">
        <f t="shared" si="38"/>
        <v>0.88170000000000004</v>
      </c>
      <c r="G122" s="3062">
        <f t="shared" si="38"/>
        <v>0.88170000000000004</v>
      </c>
      <c r="H122" s="3062">
        <f t="shared" si="38"/>
        <v>0.88170000000000004</v>
      </c>
      <c r="I122" s="3062">
        <f>ROUND(0.7632-0.0166*B116,4)</f>
        <v>0.74629999999999996</v>
      </c>
      <c r="J122" s="3062">
        <f t="shared" si="36"/>
        <v>0.74629999999999996</v>
      </c>
      <c r="K122" s="3062">
        <f t="shared" si="36"/>
        <v>0.74629999999999996</v>
      </c>
      <c r="L122" s="3062">
        <f t="shared" si="36"/>
        <v>0.74629999999999996</v>
      </c>
      <c r="M122" s="3082">
        <f t="shared" si="36"/>
        <v>0.74629999999999996</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v>
      </c>
      <c r="D1" s="1249" t="s">
        <v>43</v>
      </c>
      <c r="E1" s="1250" t="s">
        <v>678</v>
      </c>
      <c r="F1" s="978">
        <f ca="1">J53</f>
        <v>32.32</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5039</v>
      </c>
      <c r="C2" s="1267" t="s">
        <v>805</v>
      </c>
      <c r="D2" s="1267"/>
      <c r="E2" s="1273"/>
      <c r="F2" s="1274"/>
      <c r="G2" s="2453"/>
      <c r="H2" s="2443"/>
      <c r="I2" s="2443"/>
      <c r="J2" s="2443"/>
      <c r="K2" s="2444"/>
      <c r="L2" s="2443"/>
      <c r="M2" s="2443"/>
    </row>
    <row r="3" spans="1:37" ht="18" customHeight="1" thickBot="1">
      <c r="A3" s="1275" t="s">
        <v>806</v>
      </c>
      <c r="B3" s="1276">
        <f ca="1">IF(ISERROR(B2*10000/F43),0,ROUND(B2*10000/F43,0))</f>
        <v>7581</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306</v>
      </c>
      <c r="D5" s="1251" t="s">
        <v>693</v>
      </c>
      <c r="E5" s="987"/>
      <c r="F5" s="988"/>
      <c r="G5" s="1270"/>
      <c r="H5" s="285">
        <v>1</v>
      </c>
      <c r="I5" s="286" t="s">
        <v>692</v>
      </c>
      <c r="J5" s="986">
        <f ca="1">J6+J10+J12</f>
        <v>0</v>
      </c>
      <c r="K5" s="1251" t="s">
        <v>693</v>
      </c>
      <c r="L5" s="987"/>
      <c r="M5" s="988"/>
    </row>
    <row r="6" spans="1:37" ht="18" customHeight="1">
      <c r="A6" s="985" t="s">
        <v>398</v>
      </c>
      <c r="B6" s="3349" t="s">
        <v>694</v>
      </c>
      <c r="C6" s="990">
        <f ca="1">ROUND(F6*F8*F7*(1-F9)/10000,0)</f>
        <v>306</v>
      </c>
      <c r="D6" s="141" t="s">
        <v>2109</v>
      </c>
      <c r="E6" s="288" t="s">
        <v>696</v>
      </c>
      <c r="F6" s="289">
        <f ca="1">INDIRECT("'数据-取费表'!u"&amp;$G$1)</f>
        <v>1.4</v>
      </c>
      <c r="G6" s="1270"/>
      <c r="H6" s="985" t="s">
        <v>398</v>
      </c>
      <c r="I6" s="3349" t="s">
        <v>694</v>
      </c>
      <c r="J6" s="287">
        <f ca="1">ROUND(M6*M8*M7*(1-M9)/10000,0)</f>
        <v>0</v>
      </c>
      <c r="K6" s="141" t="s">
        <v>2108</v>
      </c>
      <c r="L6" s="288" t="s">
        <v>696</v>
      </c>
      <c r="M6" s="289">
        <f ca="1">INDIRECT("'数据-取费表'!z"&amp;$G$1)</f>
        <v>0</v>
      </c>
    </row>
    <row r="7" spans="1:37" ht="18" customHeight="1">
      <c r="A7" s="989"/>
      <c r="B7" s="3350"/>
      <c r="C7" s="991"/>
      <c r="D7" s="293"/>
      <c r="E7" s="992" t="s">
        <v>697</v>
      </c>
      <c r="F7" s="289">
        <f ca="1">IF(INDIRECT("'数据-取费表'!ah"&amp;$G$1)="",INDIRECT("'数据-取费表'!k"&amp;$G$1),INDIRECT("'数据-取费表'!ah"&amp;$G$1))</f>
        <v>6647.2</v>
      </c>
      <c r="G7" s="1270"/>
      <c r="H7" s="290"/>
      <c r="I7" s="3350"/>
      <c r="J7" s="292"/>
      <c r="K7" s="293"/>
      <c r="L7" s="288" t="s">
        <v>697</v>
      </c>
      <c r="M7" s="289">
        <f ca="1">F7</f>
        <v>6647.2</v>
      </c>
    </row>
    <row r="8" spans="1:37" ht="18" customHeight="1">
      <c r="A8" s="290"/>
      <c r="B8" s="3350"/>
      <c r="C8" s="292"/>
      <c r="D8" s="293"/>
      <c r="E8" s="288" t="s">
        <v>698</v>
      </c>
      <c r="F8" s="289">
        <f ca="1">INDIRECT("'数据-取费表'!ai"&amp;$G$1)</f>
        <v>365</v>
      </c>
      <c r="G8" s="1270"/>
      <c r="H8" s="290"/>
      <c r="I8" s="3350"/>
      <c r="J8" s="292"/>
      <c r="K8" s="293"/>
      <c r="L8" s="288" t="s">
        <v>698</v>
      </c>
      <c r="M8" s="289">
        <f ca="1">INDIRECT("'数据-取费表'!ai"&amp;$G$1)</f>
        <v>365</v>
      </c>
    </row>
    <row r="9" spans="1:37" ht="18" customHeight="1">
      <c r="A9" s="290"/>
      <c r="B9" s="3351"/>
      <c r="C9" s="292"/>
      <c r="D9" s="293"/>
      <c r="E9" s="288" t="s">
        <v>699</v>
      </c>
      <c r="F9" s="298">
        <f ca="1">INDIRECT("'数据-取费表'!w"&amp;$G$1)</f>
        <v>0.1</v>
      </c>
      <c r="G9" s="1270"/>
      <c r="H9" s="290"/>
      <c r="I9" s="3351"/>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2117</v>
      </c>
      <c r="E10" s="299" t="s">
        <v>701</v>
      </c>
      <c r="F10" s="1031" t="s">
        <v>3401</v>
      </c>
      <c r="G10" s="1270"/>
      <c r="H10" s="985" t="s">
        <v>402</v>
      </c>
      <c r="I10" s="1252" t="s">
        <v>700</v>
      </c>
      <c r="J10" s="287">
        <f ca="1">ROUND(IF(M10="押一",J6/12*M11,IF(M10="押二",J6/12*2*M11,IF(M10="押三",J6/12*3*M11,J11*M11))),0)</f>
        <v>0</v>
      </c>
      <c r="K10" s="144" t="s">
        <v>2116</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2186</v>
      </c>
      <c r="D13" s="996" t="s">
        <v>705</v>
      </c>
      <c r="E13" s="996" t="s">
        <v>706</v>
      </c>
      <c r="F13" s="997">
        <f ca="1">INDIRECT("'数据-取费表'!y"&amp;$G$1)</f>
        <v>0.75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2194</v>
      </c>
      <c r="D14" s="1235" t="s">
        <v>708</v>
      </c>
      <c r="E14" s="1233"/>
      <c r="F14" s="304"/>
      <c r="G14" s="1270"/>
      <c r="H14" s="908" t="s">
        <v>398</v>
      </c>
      <c r="I14" s="288" t="s">
        <v>709</v>
      </c>
      <c r="J14" s="21">
        <f ca="1">C29</f>
        <v>2914</v>
      </c>
      <c r="K14" s="12"/>
      <c r="L14" s="741"/>
      <c r="M14" s="742"/>
    </row>
    <row r="15" spans="1:37" s="1282" customFormat="1" ht="18" customHeight="1" thickBot="1">
      <c r="A15" s="908" t="s">
        <v>399</v>
      </c>
      <c r="B15" s="288" t="s">
        <v>710</v>
      </c>
      <c r="C15" s="21">
        <f ca="1">ROUND(C14*F15,0)</f>
        <v>110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7</v>
      </c>
      <c r="K16" s="1002" t="s">
        <v>715</v>
      </c>
      <c r="L16" s="1003"/>
      <c r="M16" s="988"/>
    </row>
    <row r="17" spans="1:37" s="1282" customFormat="1" ht="18" customHeight="1">
      <c r="A17" s="908" t="s">
        <v>681</v>
      </c>
      <c r="B17" s="288" t="s">
        <v>716</v>
      </c>
      <c r="C17" s="21">
        <f ca="1">ROUND(F17*(F43+INDIRECT("'数据-取费表'!S"&amp;$G$1))/10000,0)</f>
        <v>133</v>
      </c>
      <c r="D17" s="288" t="s">
        <v>717</v>
      </c>
      <c r="E17" s="288" t="s">
        <v>718</v>
      </c>
      <c r="F17" s="23">
        <f>'数据-取费表'!B35</f>
        <v>200</v>
      </c>
      <c r="G17" s="1281"/>
      <c r="H17" s="908" t="s">
        <v>398</v>
      </c>
      <c r="I17" s="288" t="s">
        <v>719</v>
      </c>
      <c r="J17" s="2117">
        <f ca="1">ROUND(IF(AND(项目基本情况!B11="自然人",项目基本情况!B10="北京市"),J6*M17/(1+'数据-取费表'!C42),J18+J19+J20),2)</f>
        <v>0.98</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44</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2481</v>
      </c>
      <c r="D19" s="117" t="s">
        <v>726</v>
      </c>
      <c r="E19" s="1247"/>
      <c r="F19" s="23"/>
      <c r="G19" s="1270"/>
      <c r="H19" s="908" t="s">
        <v>399</v>
      </c>
      <c r="I19" s="288" t="s">
        <v>727</v>
      </c>
      <c r="J19" s="21">
        <f ca="1">IF(K19="按租金收入计税",ROUND(J6*M19/(1+'数据-取费表'!C42),2),ROUND(C29*M19*0.7,2))</f>
        <v>0</v>
      </c>
      <c r="K19" s="1256" t="s">
        <v>3334</v>
      </c>
      <c r="L19" s="288" t="s">
        <v>712</v>
      </c>
      <c r="M19" s="307">
        <f>IF(K19="按租金收入计税",'数据-取费表'!B51,'数据-取费表'!B50)</f>
        <v>0.12</v>
      </c>
    </row>
    <row r="20" spans="1:37" s="1282" customFormat="1" ht="18" customHeight="1">
      <c r="A20" s="908" t="s">
        <v>402</v>
      </c>
      <c r="B20" s="288" t="s">
        <v>728</v>
      </c>
      <c r="C20" s="21">
        <f ca="1">ROUND(C19*F20,0)</f>
        <v>50</v>
      </c>
      <c r="D20" s="308" t="s">
        <v>729</v>
      </c>
      <c r="E20" s="288" t="s">
        <v>712</v>
      </c>
      <c r="F20" s="307">
        <f>'数据-取费表'!B37</f>
        <v>0.02</v>
      </c>
      <c r="G20" s="1281"/>
      <c r="H20" s="908" t="s">
        <v>680</v>
      </c>
      <c r="I20" s="141" t="s">
        <v>730</v>
      </c>
      <c r="J20" s="22">
        <f ca="1">ROUND(M20*M21/10000,2)</f>
        <v>0.98</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6544.93</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单利计息。建造成本、管理费用、销售费用产生的利息。</v>
      </c>
      <c r="E22" s="1247"/>
      <c r="F22" s="23"/>
      <c r="G22" s="1270"/>
      <c r="H22" s="908" t="s">
        <v>402</v>
      </c>
      <c r="I22" s="288" t="s">
        <v>738</v>
      </c>
      <c r="J22" s="21">
        <f ca="1">ROUND(J14*M22,2)</f>
        <v>5.83</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39</v>
      </c>
      <c r="D23" s="132" t="str">
        <f>IF(F23&lt;=1,"(建造成本+管理费用)×利率×(建设周期÷2)","(建造成本+管理费用)×((1+利率)^(建设周期÷2)-1)")</f>
        <v>(建造成本+管理费用)×利率×(建设周期÷2)</v>
      </c>
      <c r="E23" s="288" t="s">
        <v>741</v>
      </c>
      <c r="F23" s="310">
        <f>'数据-取费表'!B20</f>
        <v>1</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2.9999999999999997E-4</v>
      </c>
      <c r="D24" s="132" t="str">
        <f>IF(F23&lt;=1,"销售费用×利率×(建设周期÷2)","销售费用×((1+利率)^(建设周期÷2)-1)")</f>
        <v>销售费用×利率×(建设周期÷2)</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-7</v>
      </c>
      <c r="K25" s="1010" t="s">
        <v>753</v>
      </c>
      <c r="L25" s="1011"/>
      <c r="M25" s="1012"/>
    </row>
    <row r="26" spans="1:37">
      <c r="A26" s="908" t="s">
        <v>397</v>
      </c>
      <c r="B26" s="288" t="s">
        <v>754</v>
      </c>
      <c r="C26" s="21">
        <f ca="1">ROUND((C19+C20)*F26,0)</f>
        <v>127</v>
      </c>
      <c r="D26" s="308" t="s">
        <v>755</v>
      </c>
      <c r="E26" s="299" t="s">
        <v>756</v>
      </c>
      <c r="F26" s="298">
        <f ca="1">INDIRECT("'数据-取费表'!q"&amp;$G$1)</f>
        <v>0.05</v>
      </c>
      <c r="G26" s="1270"/>
      <c r="H26" s="285" t="s">
        <v>395</v>
      </c>
      <c r="I26" s="286" t="s">
        <v>757</v>
      </c>
      <c r="J26" s="287">
        <f ca="1">IF(J5&lt;&gt;0,ROUND(J25*(1-((1+M28)/(1+M26))^M27)/(M26-M28),0),0)</f>
        <v>0</v>
      </c>
      <c r="K26" s="309" t="s">
        <v>758</v>
      </c>
      <c r="L26" s="288" t="s">
        <v>759</v>
      </c>
      <c r="M26" s="298">
        <f ca="1">INDIRECT("'数据-取费表'!I"&amp;$G$1)</f>
        <v>0.05</v>
      </c>
    </row>
    <row r="27" spans="1:37" ht="18" customHeight="1">
      <c r="A27" s="908" t="s">
        <v>399</v>
      </c>
      <c r="B27" s="288" t="s">
        <v>760</v>
      </c>
      <c r="C27" s="21">
        <f ca="1">ROUND(F21*F26,4)</f>
        <v>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2914</v>
      </c>
      <c r="D29" s="1007"/>
      <c r="E29" s="1005"/>
      <c r="F29" s="1008"/>
      <c r="G29" s="1281"/>
      <c r="H29" s="318" t="s">
        <v>396</v>
      </c>
      <c r="I29" s="319" t="s">
        <v>768</v>
      </c>
      <c r="J29" s="320">
        <f ca="1">ROUND(J26/(1+F40)^F41,0)</f>
        <v>0</v>
      </c>
      <c r="K29" s="321" t="s">
        <v>769</v>
      </c>
      <c r="L29" s="322"/>
      <c r="M29" s="323">
        <f ca="1">INDIRECT("'数据-取费表'!k"&amp;$G$1)</f>
        <v>6647.2</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63</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52.27</v>
      </c>
      <c r="D31" s="1235" t="s">
        <v>720</v>
      </c>
      <c r="E31" s="1234" t="s">
        <v>770</v>
      </c>
      <c r="F31" s="2116" t="str">
        <f>IF(项目基本情况!B11="企业","——",IF(M47="住宅",IF(F6*F7*F8/12/(1+'数据-取费表'!F30)&gt;100000,4%,2.5%),IF(F6*F7*F8/12/(1+'数据-取费表'!F30)&gt;100000,12%,7%)))</f>
        <v>——</v>
      </c>
      <c r="G31" s="1270"/>
      <c r="H31" s="2543" t="s">
        <v>2304</v>
      </c>
      <c r="I31" s="1283"/>
      <c r="J31" s="1284"/>
      <c r="K31" s="115"/>
      <c r="L31" s="2446"/>
      <c r="M31" s="2447"/>
    </row>
    <row r="32" spans="1:37" ht="18" customHeight="1">
      <c r="A32" s="908" t="s">
        <v>397</v>
      </c>
      <c r="B32" s="288" t="s">
        <v>723</v>
      </c>
      <c r="C32" s="21">
        <f ca="1">IF(项目基本情况!B11="自然人","——",ROUND(C6*F32/(1+'数据-取费表'!C42),2))</f>
        <v>16.32</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34.97</v>
      </c>
      <c r="D33" s="1256" t="s">
        <v>3334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0.98</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6544.93</v>
      </c>
      <c r="G35" s="1270"/>
      <c r="H35" s="2445"/>
      <c r="I35" s="1283"/>
      <c r="J35" s="1284"/>
      <c r="K35" s="2449"/>
      <c r="L35" s="2448"/>
      <c r="M35" s="2448"/>
    </row>
    <row r="36" spans="1:18" ht="18" customHeight="1">
      <c r="A36" s="1017" t="s">
        <v>402</v>
      </c>
      <c r="B36" s="288" t="s">
        <v>738</v>
      </c>
      <c r="C36" s="21">
        <f ca="1">ROUND(C29*F36,2)</f>
        <v>5.83</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2.19</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3.06</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243</v>
      </c>
      <c r="D39" s="1010" t="s">
        <v>773</v>
      </c>
      <c r="E39" s="1011"/>
      <c r="F39" s="1012"/>
      <c r="G39" s="1270"/>
      <c r="H39" s="2448"/>
      <c r="I39" s="1283"/>
      <c r="J39" s="1284"/>
      <c r="K39" s="2446"/>
      <c r="L39" s="2448"/>
      <c r="M39" s="2448"/>
    </row>
    <row r="40" spans="1:18" ht="18" customHeight="1">
      <c r="A40" s="285" t="s">
        <v>395</v>
      </c>
      <c r="B40" s="286" t="s">
        <v>774</v>
      </c>
      <c r="C40" s="287">
        <f ca="1">ROUND(C39*(1-((1+F42)/(1+F40))^F41)/(F40-F42),0)</f>
        <v>4926</v>
      </c>
      <c r="D40" s="309" t="s">
        <v>758</v>
      </c>
      <c r="E40" s="288" t="s">
        <v>759</v>
      </c>
      <c r="F40" s="298">
        <f ca="1">INDIRECT("'数据-取费表'!I"&amp;$G$1)</f>
        <v>0.05</v>
      </c>
      <c r="G40" s="1270"/>
      <c r="H40" s="1344"/>
      <c r="I40" s="1283">
        <f ca="1">C39/C6</f>
        <v>0.79411764705882348</v>
      </c>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32.32</v>
      </c>
      <c r="G41" s="1270"/>
      <c r="H41" s="115"/>
      <c r="I41" s="1283"/>
      <c r="J41" s="1284"/>
      <c r="K41" s="2308"/>
      <c r="L41" s="115"/>
      <c r="M41" s="115"/>
    </row>
    <row r="42" spans="1:18" ht="18" customHeight="1">
      <c r="A42" s="294"/>
      <c r="B42" s="295"/>
      <c r="C42" s="296"/>
      <c r="D42" s="312"/>
      <c r="E42" s="288" t="s">
        <v>766</v>
      </c>
      <c r="F42" s="298">
        <f ca="1">INDIRECT("'数据-取费表'!v"&amp;$G$1)</f>
        <v>0.02</v>
      </c>
      <c r="G42" s="1270"/>
      <c r="H42" s="115"/>
      <c r="I42" s="1283"/>
      <c r="J42" s="1284"/>
      <c r="K42" s="2308"/>
      <c r="L42" s="115"/>
      <c r="M42" s="115"/>
    </row>
    <row r="43" spans="1:18" ht="18" customHeight="1" thickBot="1">
      <c r="A43" s="318" t="s">
        <v>396</v>
      </c>
      <c r="B43" s="319" t="s">
        <v>776</v>
      </c>
      <c r="C43" s="320">
        <f ca="1">ROUND(C40*10000/F43,0)</f>
        <v>7411</v>
      </c>
      <c r="D43" s="321" t="s">
        <v>777</v>
      </c>
      <c r="E43" s="322" t="s">
        <v>778</v>
      </c>
      <c r="F43" s="323">
        <f ca="1">INDIRECT("'数据-取费表'!k"&amp;$G$1)</f>
        <v>6647.2</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-5069</v>
      </c>
      <c r="D46" s="1291" t="str">
        <f>C2</f>
        <v>万元</v>
      </c>
      <c r="E46" s="1285"/>
      <c r="F46" s="1285"/>
      <c r="I46" s="1292" t="s">
        <v>810</v>
      </c>
      <c r="J46" s="1293"/>
      <c r="K46" s="1294"/>
      <c r="L46" s="1295">
        <f ca="1">IF(M47="住宅",0,IF(L48&gt;J51,L60,J60))</f>
        <v>113</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3402</v>
      </c>
      <c r="K47" s="1301" t="s">
        <v>816</v>
      </c>
      <c r="L47" s="1302">
        <f ca="1">INDIRECT("'数据-取费表'!d"&amp;$G$1)</f>
        <v>50</v>
      </c>
      <c r="M47" s="1266" t="str">
        <f>IF(ISNUMBER(FIND("住宅",C1)),"住宅","非住宅")</f>
        <v>非住宅</v>
      </c>
      <c r="O47" s="1303" t="s">
        <v>403</v>
      </c>
      <c r="P47" s="1304" t="s">
        <v>817</v>
      </c>
      <c r="Q47" s="1305">
        <f ca="1">C40+J29</f>
        <v>4926</v>
      </c>
      <c r="R47" s="1305" t="s">
        <v>818</v>
      </c>
    </row>
    <row r="48" spans="1:18" s="1270" customFormat="1" ht="28.5" thickBot="1">
      <c r="A48" s="1025" t="s">
        <v>438</v>
      </c>
      <c r="B48" s="286" t="s">
        <v>692</v>
      </c>
      <c r="C48" s="1246">
        <f ca="1">C49+C53+C55</f>
        <v>0</v>
      </c>
      <c r="D48" s="1027"/>
      <c r="E48" s="1028"/>
      <c r="F48" s="888"/>
      <c r="G48" s="671"/>
      <c r="H48" s="672"/>
      <c r="I48" s="1306" t="s">
        <v>819</v>
      </c>
      <c r="J48" s="1307" t="s">
        <v>3403</v>
      </c>
      <c r="K48" s="1308" t="s">
        <v>820</v>
      </c>
      <c r="L48" s="1309">
        <f ca="1">INDIRECT("'数据-取费表'!f"&amp;$G$1)</f>
        <v>32.32</v>
      </c>
      <c r="O48" s="1303" t="s">
        <v>404</v>
      </c>
      <c r="P48" s="1304" t="s">
        <v>821</v>
      </c>
      <c r="Q48" s="1305">
        <f ca="1">J60</f>
        <v>113</v>
      </c>
      <c r="R48" s="1305" t="s">
        <v>822</v>
      </c>
    </row>
    <row r="49" spans="1:18" s="1270" customFormat="1" ht="13.5" thickBot="1">
      <c r="A49" s="901" t="s">
        <v>439</v>
      </c>
      <c r="B49" s="1257" t="s">
        <v>779</v>
      </c>
      <c r="C49" s="1029">
        <f ca="1">ROUND(F49*F51*F50*(1-F52)/10000,0)</f>
        <v>0</v>
      </c>
      <c r="D49" s="971" t="s">
        <v>2110</v>
      </c>
      <c r="E49" s="1258" t="s">
        <v>780</v>
      </c>
      <c r="F49" s="976"/>
      <c r="H49" s="672"/>
      <c r="I49" s="1306" t="s">
        <v>823</v>
      </c>
      <c r="J49" s="1310">
        <v>2009</v>
      </c>
      <c r="K49" s="1308" t="s">
        <v>824</v>
      </c>
      <c r="L49" s="1311"/>
      <c r="O49" s="1312" t="s">
        <v>405</v>
      </c>
      <c r="P49" s="1304" t="s">
        <v>825</v>
      </c>
      <c r="Q49" s="1305">
        <f ca="1">C29</f>
        <v>2914</v>
      </c>
      <c r="R49" s="1305" t="s">
        <v>818</v>
      </c>
    </row>
    <row r="50" spans="1:18" s="1270" customFormat="1" ht="13.5" thickBot="1">
      <c r="A50" s="902"/>
      <c r="B50" s="905"/>
      <c r="C50" s="1033"/>
      <c r="D50" s="879"/>
      <c r="E50" s="972" t="s">
        <v>697</v>
      </c>
      <c r="F50" s="973">
        <f ca="1">F7</f>
        <v>6647.2</v>
      </c>
      <c r="H50" s="672"/>
      <c r="I50" s="1306" t="s">
        <v>826</v>
      </c>
      <c r="J50" s="1313">
        <f>SUMPRODUCT((I63:I65=J47)*(J62:L62=J48)*(J63:L65))</f>
        <v>50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34</v>
      </c>
      <c r="K51" s="1317" t="s">
        <v>830</v>
      </c>
      <c r="L51" s="1318">
        <f ca="1">ROUND(-PV(INDIRECT("'数据-取费表'!h"&amp;$G$1),J51,(C39-C13*C76),0),0)</f>
        <v>1552</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32.32</v>
      </c>
      <c r="R52" s="1305" t="s">
        <v>835</v>
      </c>
    </row>
    <row r="53" spans="1:18" s="1270" customFormat="1" ht="24.75" thickBot="1">
      <c r="A53" s="1057" t="s">
        <v>440</v>
      </c>
      <c r="B53" s="1259"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32.32</v>
      </c>
      <c r="K53" s="3347" t="s">
        <v>837</v>
      </c>
      <c r="L53" s="3348"/>
      <c r="O53" s="1303" t="s">
        <v>409</v>
      </c>
      <c r="P53" s="1304" t="s">
        <v>838</v>
      </c>
      <c r="Q53" s="1305">
        <f ca="1">Q47+Q48</f>
        <v>5039</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3.4000000000000002E-2</v>
      </c>
      <c r="K55" s="1328" t="s">
        <v>841</v>
      </c>
      <c r="L55" s="1329"/>
      <c r="O55" s="1296" t="s">
        <v>811</v>
      </c>
      <c r="P55" s="1297" t="s">
        <v>812</v>
      </c>
      <c r="Q55" s="1298" t="s">
        <v>813</v>
      </c>
      <c r="R55" s="1298" t="s">
        <v>814</v>
      </c>
    </row>
    <row r="56" spans="1:18" s="1270" customFormat="1" ht="25.5" thickTop="1" thickBot="1">
      <c r="A56" s="883">
        <v>2</v>
      </c>
      <c r="B56" s="884" t="s">
        <v>704</v>
      </c>
      <c r="C56" s="218">
        <f ca="1">C13</f>
        <v>2186</v>
      </c>
      <c r="D56" s="1330"/>
      <c r="E56" s="1331"/>
      <c r="F56" s="1323"/>
      <c r="I56" s="1332" t="s">
        <v>842</v>
      </c>
      <c r="J56" s="1333" t="s">
        <v>3420</v>
      </c>
      <c r="K56" s="1306" t="s">
        <v>843</v>
      </c>
      <c r="L56" s="1309" t="str">
        <f ca="1">IF(L48&lt;J51,"——",L48-J53)</f>
        <v>——</v>
      </c>
      <c r="O56" s="1303" t="s">
        <v>403</v>
      </c>
      <c r="P56" s="1304" t="s">
        <v>817</v>
      </c>
      <c r="Q56" s="1305">
        <f ca="1">C40+J29</f>
        <v>4926</v>
      </c>
      <c r="R56" s="1305" t="s">
        <v>818</v>
      </c>
    </row>
    <row r="57" spans="1:18" s="1270" customFormat="1" ht="24.75" thickBot="1">
      <c r="A57" s="1334"/>
      <c r="B57" s="876" t="s">
        <v>767</v>
      </c>
      <c r="C57" s="224">
        <f ca="1">C29</f>
        <v>2914</v>
      </c>
      <c r="D57" s="1335"/>
      <c r="E57" s="1336"/>
      <c r="F57" s="1337"/>
      <c r="I57" s="1338" t="s">
        <v>844</v>
      </c>
      <c r="J57" s="1339">
        <f ca="1">IF(OR(M47="住宅",J51&lt;L48,J56="是"),"——",J51-L48)</f>
        <v>1.6799999999999997</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9</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1</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1166</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f ca="1">IF(OR(M47="住宅",J51&lt;L48,J56="是"),"0",ROUND(J59/(1+J52)^J53,0))</f>
        <v>113</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3334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0.98</v>
      </c>
      <c r="D62" s="891" t="s">
        <v>786</v>
      </c>
      <c r="E62" s="876" t="s">
        <v>787</v>
      </c>
      <c r="F62" s="310">
        <f t="shared" si="0"/>
        <v>1.5</v>
      </c>
      <c r="I62" s="1345" t="s">
        <v>858</v>
      </c>
      <c r="J62" s="603" t="s">
        <v>859</v>
      </c>
      <c r="K62" s="603" t="s">
        <v>860</v>
      </c>
      <c r="L62" s="603" t="s">
        <v>861</v>
      </c>
      <c r="M62" s="1346" t="s">
        <v>862</v>
      </c>
      <c r="O62" s="1303" t="s">
        <v>409</v>
      </c>
      <c r="P62" s="1304" t="s">
        <v>863</v>
      </c>
      <c r="Q62" s="1305">
        <f ca="1">Q56+Q57</f>
        <v>4926</v>
      </c>
      <c r="R62" s="1305" t="s">
        <v>410</v>
      </c>
    </row>
    <row r="63" spans="1:18" s="1270" customFormat="1" ht="13.5" thickBot="1">
      <c r="A63" s="311"/>
      <c r="B63" s="882"/>
      <c r="C63" s="26"/>
      <c r="D63" s="892"/>
      <c r="E63" s="876" t="s">
        <v>788</v>
      </c>
      <c r="F63" s="289">
        <f t="shared" ca="1" si="0"/>
        <v>6544.93</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5.83</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2.19</v>
      </c>
      <c r="D65" s="890" t="s">
        <v>743</v>
      </c>
      <c r="E65" s="876" t="s">
        <v>744</v>
      </c>
      <c r="F65" s="314">
        <f t="shared" ca="1" si="0"/>
        <v>1E-3</v>
      </c>
      <c r="I65" s="1345" t="s">
        <v>867</v>
      </c>
      <c r="J65" s="603">
        <v>40</v>
      </c>
      <c r="K65" s="603">
        <v>30</v>
      </c>
      <c r="L65" s="603">
        <v>50</v>
      </c>
      <c r="M65" s="1347">
        <v>0.02</v>
      </c>
      <c r="O65" s="1303" t="s">
        <v>403</v>
      </c>
      <c r="P65" s="1304" t="s">
        <v>868</v>
      </c>
      <c r="Q65" s="1305">
        <f ca="1">C40+J29</f>
        <v>4926</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-9</v>
      </c>
      <c r="D67" s="889" t="s">
        <v>753</v>
      </c>
      <c r="E67" s="894"/>
      <c r="F67" s="895"/>
      <c r="O67" s="1312" t="s">
        <v>405</v>
      </c>
      <c r="P67" s="1304" t="s">
        <v>850</v>
      </c>
      <c r="Q67" s="1348">
        <f ca="1">L51</f>
        <v>1552</v>
      </c>
      <c r="R67" s="1305" t="s">
        <v>870</v>
      </c>
    </row>
    <row r="68" spans="1:18" s="1270" customFormat="1" ht="16.5" thickBot="1">
      <c r="A68" s="873" t="s">
        <v>395</v>
      </c>
      <c r="B68" s="874" t="s">
        <v>774</v>
      </c>
      <c r="C68" s="287">
        <f ca="1">ROUND(C67*(1-((1+F70)/(1+F68))^F69)/(F68-F70),0)</f>
        <v>-143</v>
      </c>
      <c r="D68" s="891" t="s">
        <v>758</v>
      </c>
      <c r="E68" s="876" t="s">
        <v>759</v>
      </c>
      <c r="F68" s="298">
        <f ca="1">F40</f>
        <v>0.05</v>
      </c>
      <c r="O68" s="1312" t="s">
        <v>406</v>
      </c>
      <c r="P68" s="1349" t="s">
        <v>871</v>
      </c>
      <c r="Q68" s="1305">
        <f ca="1">ROUND(Q69-Q70*Q71,0)</f>
        <v>90</v>
      </c>
      <c r="R68" s="1305" t="s">
        <v>414</v>
      </c>
    </row>
    <row r="69" spans="1:18" s="1270" customFormat="1" ht="13.5" thickBot="1">
      <c r="A69" s="877"/>
      <c r="B69" s="878"/>
      <c r="C69" s="292"/>
      <c r="D69" s="896" t="s">
        <v>762</v>
      </c>
      <c r="E69" s="876" t="s">
        <v>763</v>
      </c>
      <c r="F69" s="317">
        <f ca="1">F41</f>
        <v>32.32</v>
      </c>
      <c r="O69" s="1312" t="s">
        <v>411</v>
      </c>
      <c r="P69" s="1349" t="s">
        <v>872</v>
      </c>
      <c r="Q69" s="1305">
        <f ca="1">C39</f>
        <v>243</v>
      </c>
      <c r="R69" s="1305" t="s">
        <v>818</v>
      </c>
    </row>
    <row r="70" spans="1:18" s="1270" customFormat="1" ht="13.5" thickBot="1">
      <c r="A70" s="880"/>
      <c r="B70" s="881"/>
      <c r="C70" s="296"/>
      <c r="D70" s="892"/>
      <c r="E70" s="876" t="s">
        <v>766</v>
      </c>
      <c r="F70" s="970"/>
      <c r="O70" s="1312" t="s">
        <v>412</v>
      </c>
      <c r="P70" s="1349" t="s">
        <v>873</v>
      </c>
      <c r="Q70" s="1305">
        <f ca="1">C13</f>
        <v>2186</v>
      </c>
      <c r="R70" s="1305" t="s">
        <v>818</v>
      </c>
    </row>
    <row r="71" spans="1:18" s="1270" customFormat="1" ht="13.5" thickBot="1">
      <c r="A71" s="897" t="s">
        <v>396</v>
      </c>
      <c r="B71" s="898" t="s">
        <v>776</v>
      </c>
      <c r="C71" s="320">
        <f ca="1">ROUND(C68*10000/F71,0)</f>
        <v>-215</v>
      </c>
      <c r="D71" s="899" t="s">
        <v>777</v>
      </c>
      <c r="E71" s="900" t="s">
        <v>778</v>
      </c>
      <c r="F71" s="323">
        <f ca="1">F43</f>
        <v>6647.2</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153</v>
      </c>
      <c r="D75" s="1270"/>
      <c r="E75" s="1270"/>
      <c r="F75" s="1270"/>
      <c r="K75" s="1287"/>
      <c r="L75" s="1270"/>
      <c r="O75" s="1303" t="s">
        <v>409</v>
      </c>
      <c r="P75" s="1304" t="s">
        <v>838</v>
      </c>
      <c r="Q75" s="1305">
        <f ca="1">Q65+Q66</f>
        <v>4926</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0.37</v>
      </c>
    </row>
    <row r="80" spans="1:18">
      <c r="B80" s="324" t="s">
        <v>800</v>
      </c>
      <c r="C80" s="260">
        <f ca="1">ROUND(C75/C39,3)</f>
        <v>0.63</v>
      </c>
    </row>
    <row r="81" spans="2:3">
      <c r="B81" s="256" t="s">
        <v>801</v>
      </c>
      <c r="C81" s="224"/>
    </row>
    <row r="82" spans="2:3">
      <c r="B82" s="259" t="s">
        <v>802</v>
      </c>
      <c r="C82" s="261">
        <f ca="1">1-C83</f>
        <v>0.55600000000000005</v>
      </c>
    </row>
    <row r="83" spans="2:3">
      <c r="B83" s="259" t="s">
        <v>803</v>
      </c>
      <c r="C83" s="260">
        <f ca="1">ROUND(C13/C40,3)</f>
        <v>0.44400000000000001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
  <sheetViews>
    <sheetView topLeftCell="A31" zoomScale="85" zoomScaleNormal="85" workbookViewId="0">
      <selection activeCell="K32" sqref="K32"/>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6"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9" t="s">
        <v>694</v>
      </c>
      <c r="C6" s="990">
        <f ca="1">ROUND(F6*F8*F7*(1-F9),0)</f>
        <v>0</v>
      </c>
      <c r="D6" s="141" t="s">
        <v>2106</v>
      </c>
      <c r="E6" s="288" t="s">
        <v>696</v>
      </c>
      <c r="F6" s="289">
        <f ca="1">INDIRECT("'数据-取费表'!u"&amp;$G$1)</f>
        <v>0</v>
      </c>
      <c r="G6" s="1270"/>
      <c r="H6" s="985" t="s">
        <v>398</v>
      </c>
      <c r="I6" s="3349" t="s">
        <v>694</v>
      </c>
      <c r="J6" s="287">
        <f ca="1">ROUND(M6*M8*M7*(1-M9),0)</f>
        <v>0</v>
      </c>
      <c r="K6" s="1262" t="s">
        <v>2107</v>
      </c>
      <c r="L6" s="288" t="s">
        <v>696</v>
      </c>
      <c r="M6" s="289">
        <f ca="1">INDIRECT("'数据-取费表'!z"&amp;$G$1)</f>
        <v>0</v>
      </c>
    </row>
    <row r="7" spans="1:37" ht="18" customHeight="1">
      <c r="A7" s="989"/>
      <c r="B7" s="3350"/>
      <c r="C7" s="991"/>
      <c r="D7" s="293"/>
      <c r="E7" s="992" t="s">
        <v>697</v>
      </c>
      <c r="F7" s="289">
        <f ca="1">IF(INDIRECT("'数据-取费表'!ah"&amp;$G$1)="",INDIRECT("'数据-取费表'!k"&amp;$G$1),INDIRECT("'数据-取费表'!ah"&amp;$G$1))</f>
        <v>0</v>
      </c>
      <c r="G7" s="1270"/>
      <c r="H7" s="290"/>
      <c r="I7" s="3350"/>
      <c r="J7" s="292"/>
      <c r="K7" s="293"/>
      <c r="L7" s="288" t="s">
        <v>697</v>
      </c>
      <c r="M7" s="289">
        <f ca="1">F7</f>
        <v>0</v>
      </c>
    </row>
    <row r="8" spans="1:37" ht="18" customHeight="1">
      <c r="A8" s="290"/>
      <c r="B8" s="3350"/>
      <c r="C8" s="292"/>
      <c r="D8" s="293"/>
      <c r="E8" s="288" t="s">
        <v>698</v>
      </c>
      <c r="F8" s="289">
        <f ca="1">INDIRECT("'数据-取费表'!ai"&amp;$G$1)</f>
        <v>0</v>
      </c>
      <c r="G8" s="1270"/>
      <c r="H8" s="290"/>
      <c r="I8" s="3350"/>
      <c r="J8" s="292"/>
      <c r="K8" s="293"/>
      <c r="L8" s="288" t="s">
        <v>698</v>
      </c>
      <c r="M8" s="289">
        <f ca="1">INDIRECT("'数据-取费表'!ai"&amp;$G$1)</f>
        <v>0</v>
      </c>
    </row>
    <row r="9" spans="1:37" ht="18" customHeight="1">
      <c r="A9" s="290"/>
      <c r="B9" s="3351"/>
      <c r="C9" s="292"/>
      <c r="D9" s="293"/>
      <c r="E9" s="288" t="s">
        <v>699</v>
      </c>
      <c r="F9" s="298">
        <f ca="1">INDIRECT("'数据-取费表'!w"&amp;$G$1)</f>
        <v>0</v>
      </c>
      <c r="G9" s="1270"/>
      <c r="H9" s="290"/>
      <c r="I9" s="3351"/>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263" t="s">
        <v>2118</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3334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单利计息。建造成本、管理费用、销售费用产生的利息。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(建造成本+管理费用)×利率×(建设周期÷2)</v>
      </c>
      <c r="E23" s="288" t="s">
        <v>741</v>
      </c>
      <c r="F23" s="310">
        <f>'数据-取费表'!B20</f>
        <v>1</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2.9999999999999997E-4</v>
      </c>
      <c r="D24" s="132" t="str">
        <f>IF(F23&lt;=1,"销售费用×利率×(建设周期÷2)","销售费用×((1+利率)^(建设周期÷2)-1)")</f>
        <v>销售费用×利率×(建设周期÷2)</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2304</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3334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3350</v>
      </c>
      <c r="B45" s="1285"/>
      <c r="C45" s="1354" t="e">
        <f ca="1">ROUND((C68-C40)/10000,4)</f>
        <v>#DIV/0!</v>
      </c>
      <c r="D45" s="3102" t="s">
        <v>3351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2119</v>
      </c>
      <c r="E53" s="299" t="s">
        <v>701</v>
      </c>
      <c r="F53" s="1031"/>
      <c r="I53" s="1322" t="s">
        <v>836</v>
      </c>
      <c r="J53" s="1983">
        <f ca="1">IF(M47="住宅",IF(D1="——",MAX(J51,L48),MAX(J51,L48-'数据-取费表'!B24)),IF(D1="——",MIN(J51,L48),MIN(J51,L48-'数据-取费表'!B24)))</f>
        <v>0</v>
      </c>
      <c r="K53" s="3347" t="s">
        <v>837</v>
      </c>
      <c r="L53" s="3348"/>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3334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2433</v>
      </c>
      <c r="B1" s="2556"/>
      <c r="C1" s="2568"/>
      <c r="D1" s="2568"/>
      <c r="E1" s="2557"/>
      <c r="F1" s="2558"/>
      <c r="G1" s="2559"/>
      <c r="J1" s="2562" t="s">
        <v>2312</v>
      </c>
      <c r="K1" s="2563"/>
      <c r="L1" s="2563"/>
      <c r="M1" s="2563"/>
      <c r="N1" s="2563"/>
      <c r="O1" s="2563"/>
      <c r="P1" s="2563"/>
      <c r="Q1" s="2563"/>
      <c r="R1" s="2564"/>
      <c r="S1" s="2565"/>
      <c r="T1" s="2565"/>
      <c r="U1" s="2565"/>
    </row>
    <row r="2" spans="1:22" s="2577" customFormat="1" ht="13.15" customHeight="1">
      <c r="A2" s="1271" t="s">
        <v>2313</v>
      </c>
      <c r="B2" s="2567" t="e">
        <f>IF(D2="——",C40,C40+E2)</f>
        <v>#DIV/0!</v>
      </c>
      <c r="C2" s="2568" t="s">
        <v>2314</v>
      </c>
      <c r="D2" s="3110" t="s">
        <v>3357</v>
      </c>
      <c r="E2" s="3111"/>
      <c r="F2" s="2570"/>
      <c r="G2" s="2571"/>
      <c r="H2" s="2572"/>
      <c r="I2" s="2573"/>
      <c r="J2" s="3358" t="s">
        <v>2315</v>
      </c>
      <c r="K2" s="3359"/>
      <c r="L2" s="2574" t="s">
        <v>2316</v>
      </c>
      <c r="M2" s="2574" t="s">
        <v>2317</v>
      </c>
      <c r="N2" s="2574" t="s">
        <v>2318</v>
      </c>
      <c r="O2" s="2574" t="s">
        <v>2319</v>
      </c>
      <c r="P2" s="2574" t="s">
        <v>2320</v>
      </c>
      <c r="Q2" s="2575" t="s">
        <v>2321</v>
      </c>
      <c r="R2" s="2576" t="s">
        <v>2322</v>
      </c>
      <c r="S2" s="2565"/>
      <c r="T2" s="2565"/>
      <c r="U2" s="2565"/>
      <c r="V2" s="2573"/>
    </row>
    <row r="3" spans="1:22" s="2577" customFormat="1" ht="13.15" customHeight="1">
      <c r="A3" s="2578" t="s">
        <v>2323</v>
      </c>
      <c r="B3" s="2579" t="e">
        <f>ROUND(B2*10000/B4,0)</f>
        <v>#DIV/0!</v>
      </c>
      <c r="C3" s="2568" t="s">
        <v>2324</v>
      </c>
      <c r="D3" s="2568"/>
      <c r="E3" s="2569"/>
      <c r="F3" s="2570"/>
      <c r="G3" s="2571"/>
      <c r="H3" s="2572"/>
      <c r="I3" s="2573"/>
      <c r="J3" s="3360" t="s">
        <v>2325</v>
      </c>
      <c r="K3" s="3361"/>
      <c r="L3" s="2580"/>
      <c r="M3" s="2580"/>
      <c r="N3" s="2580"/>
      <c r="O3" s="2580"/>
      <c r="P3" s="2580"/>
      <c r="Q3" s="2581"/>
      <c r="R3" s="2582">
        <f>SUM(L3:Q3)</f>
        <v>0</v>
      </c>
      <c r="S3" s="2565"/>
      <c r="T3" s="2565"/>
      <c r="U3" s="2565"/>
      <c r="V3" s="2573"/>
    </row>
    <row r="4" spans="1:22" s="2577" customFormat="1" ht="13.15" customHeight="1">
      <c r="A4" s="2583" t="s">
        <v>2326</v>
      </c>
      <c r="B4" s="2584"/>
      <c r="C4" s="2568"/>
      <c r="D4" s="2568"/>
      <c r="E4" s="2569"/>
      <c r="F4" s="2570"/>
      <c r="G4" s="2571"/>
      <c r="H4" s="2572"/>
      <c r="I4" s="2573"/>
      <c r="J4" s="3360" t="s">
        <v>2327</v>
      </c>
      <c r="K4" s="3361"/>
      <c r="L4" s="2585"/>
      <c r="M4" s="2585"/>
      <c r="N4" s="2585"/>
      <c r="O4" s="2585"/>
      <c r="P4" s="2585"/>
      <c r="Q4" s="2586"/>
      <c r="R4" s="2587">
        <f>SUM(L4:Q4)</f>
        <v>0</v>
      </c>
      <c r="S4" s="2565"/>
      <c r="T4" s="2565"/>
      <c r="U4" s="2565"/>
      <c r="V4" s="2573"/>
    </row>
    <row r="5" spans="1:22" s="2577" customFormat="1" ht="13.15" customHeight="1" thickBot="1">
      <c r="A5" s="2588" t="s">
        <v>2328</v>
      </c>
      <c r="B5" s="2589"/>
      <c r="C5" s="2568"/>
      <c r="D5" s="2590"/>
      <c r="E5" s="2570"/>
      <c r="F5" s="2570"/>
      <c r="G5" s="2571"/>
      <c r="H5" s="2572"/>
      <c r="I5" s="2573"/>
      <c r="J5" s="2591" t="s">
        <v>2329</v>
      </c>
      <c r="K5" s="2592"/>
      <c r="L5" s="2592"/>
      <c r="M5" s="2593"/>
      <c r="N5" s="2593"/>
      <c r="O5" s="2593"/>
      <c r="P5" s="2593"/>
      <c r="Q5" s="2593"/>
      <c r="R5" s="2576">
        <f>SUM(R14,R19,R24,R25,R27,R28)</f>
        <v>0</v>
      </c>
      <c r="S5" s="2565"/>
      <c r="T5" s="2565" t="s">
        <v>2330</v>
      </c>
      <c r="U5" s="2565" t="e">
        <f>ROUND(R5*10000/365/R3,1)</f>
        <v>#DIV/0!</v>
      </c>
      <c r="V5" s="2573"/>
    </row>
    <row r="6" spans="1:22" s="2577" customFormat="1" ht="13.15" customHeight="1" thickBot="1">
      <c r="A6" s="3366" t="s">
        <v>2331</v>
      </c>
      <c r="B6" s="3367"/>
      <c r="C6" s="3368"/>
      <c r="D6" s="2594"/>
      <c r="E6" s="2595"/>
      <c r="F6" s="2596"/>
      <c r="G6" s="2597"/>
      <c r="H6" s="2572"/>
      <c r="I6" s="2573"/>
      <c r="J6" s="3352">
        <v>1</v>
      </c>
      <c r="K6" s="3353" t="s">
        <v>2332</v>
      </c>
      <c r="L6" s="2598" t="s">
        <v>2333</v>
      </c>
      <c r="M6" s="2599" t="s">
        <v>2334</v>
      </c>
      <c r="N6" s="2599" t="s">
        <v>2335</v>
      </c>
      <c r="O6" s="2599" t="s">
        <v>2336</v>
      </c>
      <c r="P6" s="2599" t="s">
        <v>2337</v>
      </c>
      <c r="Q6" s="2599" t="s">
        <v>2338</v>
      </c>
      <c r="R6" s="2582" t="s">
        <v>2339</v>
      </c>
      <c r="S6" s="2565"/>
      <c r="T6" s="2565" t="s">
        <v>2340</v>
      </c>
      <c r="U6" s="2565"/>
      <c r="V6" s="2573"/>
    </row>
    <row r="7" spans="1:22" s="2577" customFormat="1" ht="13.15" customHeight="1">
      <c r="A7" s="2600" t="s">
        <v>2341</v>
      </c>
      <c r="B7" s="2601"/>
      <c r="C7" s="2602"/>
      <c r="D7" s="2603">
        <f>SUM(D9,D10,D11,D17,0)</f>
        <v>0</v>
      </c>
      <c r="E7" s="2604" t="e">
        <f>E9+E10+E11+E17</f>
        <v>#DIV/0!</v>
      </c>
      <c r="F7" s="2605"/>
      <c r="G7" s="2606"/>
      <c r="H7" s="2572"/>
      <c r="I7" s="2573"/>
      <c r="J7" s="3352"/>
      <c r="K7" s="3354"/>
      <c r="L7" s="2607" t="s">
        <v>2342</v>
      </c>
      <c r="M7" s="2608"/>
      <c r="N7" s="2584"/>
      <c r="O7" s="2609"/>
      <c r="P7" s="2609"/>
      <c r="Q7" s="2610">
        <v>365</v>
      </c>
      <c r="R7" s="2611">
        <f>ROUND(M7*N7*O7*P7*Q7/10000,0)</f>
        <v>0</v>
      </c>
      <c r="S7" s="2565"/>
      <c r="T7" s="2565" t="s">
        <v>2343</v>
      </c>
      <c r="U7" s="2565"/>
      <c r="V7" s="2573"/>
    </row>
    <row r="8" spans="1:22" s="2577" customFormat="1" ht="13.15" customHeight="1">
      <c r="A8" s="2612" t="s">
        <v>2344</v>
      </c>
      <c r="B8" s="3369" t="s">
        <v>2345</v>
      </c>
      <c r="C8" s="3370"/>
      <c r="D8" s="2613" t="s">
        <v>2346</v>
      </c>
      <c r="E8" s="2614" t="s">
        <v>2347</v>
      </c>
      <c r="F8" s="2615" t="s">
        <v>2348</v>
      </c>
      <c r="G8" s="2616"/>
      <c r="H8" s="2572"/>
      <c r="I8" s="2573"/>
      <c r="J8" s="3352"/>
      <c r="K8" s="3354"/>
      <c r="L8" s="2607" t="s">
        <v>2349</v>
      </c>
      <c r="M8" s="2608"/>
      <c r="N8" s="2584"/>
      <c r="O8" s="2609"/>
      <c r="P8" s="2609"/>
      <c r="Q8" s="2610">
        <v>365</v>
      </c>
      <c r="R8" s="2611">
        <f t="shared" ref="R8:R13" si="0">ROUND(M8*N8*O8*P8*Q8/10000,0)</f>
        <v>0</v>
      </c>
      <c r="S8" s="2565"/>
      <c r="T8" s="2565" t="s">
        <v>2350</v>
      </c>
      <c r="U8" s="2565"/>
      <c r="V8" s="2573"/>
    </row>
    <row r="9" spans="1:22" s="2577" customFormat="1" ht="13.15" customHeight="1">
      <c r="A9" s="2612">
        <v>1</v>
      </c>
      <c r="B9" s="3369" t="s">
        <v>2351</v>
      </c>
      <c r="C9" s="3370"/>
      <c r="D9" s="2613">
        <f>ROUND(D6*E9,0)</f>
        <v>0</v>
      </c>
      <c r="E9" s="2617"/>
      <c r="F9" s="2618" t="s">
        <v>2352</v>
      </c>
      <c r="G9" s="2597"/>
      <c r="H9" s="2572"/>
      <c r="I9" s="2573"/>
      <c r="J9" s="3352"/>
      <c r="K9" s="3354"/>
      <c r="L9" s="2607" t="s">
        <v>2353</v>
      </c>
      <c r="M9" s="2608"/>
      <c r="N9" s="2584"/>
      <c r="O9" s="2609"/>
      <c r="P9" s="2609"/>
      <c r="Q9" s="2610">
        <v>365</v>
      </c>
      <c r="R9" s="2611">
        <f t="shared" si="0"/>
        <v>0</v>
      </c>
      <c r="S9" s="2565"/>
      <c r="T9" s="2565"/>
      <c r="U9" s="2565"/>
      <c r="V9" s="2573"/>
    </row>
    <row r="10" spans="1:22" s="2577" customFormat="1" ht="13.15" customHeight="1">
      <c r="A10" s="2612">
        <v>2</v>
      </c>
      <c r="B10" s="3369" t="s">
        <v>2354</v>
      </c>
      <c r="C10" s="3370"/>
      <c r="D10" s="2613">
        <f>ROUND(D6*E10,0)</f>
        <v>0</v>
      </c>
      <c r="E10" s="2617"/>
      <c r="F10" s="2618" t="s">
        <v>2355</v>
      </c>
      <c r="G10" s="2597"/>
      <c r="H10" s="2572"/>
      <c r="I10" s="2573"/>
      <c r="J10" s="3352"/>
      <c r="K10" s="3354"/>
      <c r="L10" s="2607" t="s">
        <v>2356</v>
      </c>
      <c r="M10" s="2608"/>
      <c r="N10" s="2584"/>
      <c r="O10" s="2609"/>
      <c r="P10" s="2609"/>
      <c r="Q10" s="2610">
        <v>365</v>
      </c>
      <c r="R10" s="2611">
        <f t="shared" si="0"/>
        <v>0</v>
      </c>
      <c r="S10" s="2565"/>
      <c r="T10" s="2565"/>
      <c r="U10" s="2565"/>
      <c r="V10" s="2573"/>
    </row>
    <row r="11" spans="1:22" s="2577" customFormat="1" ht="13.15" customHeight="1">
      <c r="A11" s="2612">
        <v>3</v>
      </c>
      <c r="B11" s="3369" t="s">
        <v>2357</v>
      </c>
      <c r="C11" s="3370"/>
      <c r="D11" s="2613">
        <f>D12+D14+D15+D16</f>
        <v>0</v>
      </c>
      <c r="E11" s="2619" t="e">
        <f>D11/D6</f>
        <v>#DIV/0!</v>
      </c>
      <c r="F11" s="2615"/>
      <c r="G11" s="2616"/>
      <c r="H11" s="2572"/>
      <c r="I11" s="2573"/>
      <c r="J11" s="3352"/>
      <c r="K11" s="3354"/>
      <c r="L11" s="2607" t="s">
        <v>2358</v>
      </c>
      <c r="M11" s="2608"/>
      <c r="N11" s="2584"/>
      <c r="O11" s="2609"/>
      <c r="P11" s="2609"/>
      <c r="Q11" s="2610">
        <v>365</v>
      </c>
      <c r="R11" s="2611">
        <f t="shared" si="0"/>
        <v>0</v>
      </c>
      <c r="S11" s="2565"/>
      <c r="T11" s="2565"/>
      <c r="U11" s="2565"/>
      <c r="V11" s="2573"/>
    </row>
    <row r="12" spans="1:22" s="2577" customFormat="1" ht="13.15" customHeight="1">
      <c r="A12" s="2620" t="s">
        <v>2359</v>
      </c>
      <c r="B12" s="3362" t="s">
        <v>2360</v>
      </c>
      <c r="C12" s="3363"/>
      <c r="D12" s="2621">
        <f>ROUND(D13*1.2%*(1-30%),0)</f>
        <v>0</v>
      </c>
      <c r="E12" s="2622">
        <v>1.2E-2</v>
      </c>
      <c r="F12" s="2615" t="s">
        <v>2361</v>
      </c>
      <c r="G12" s="2616"/>
      <c r="H12" s="2572"/>
      <c r="I12" s="2573"/>
      <c r="J12" s="3352"/>
      <c r="K12" s="3354"/>
      <c r="L12" s="2607" t="s">
        <v>2362</v>
      </c>
      <c r="M12" s="2608"/>
      <c r="N12" s="2584"/>
      <c r="O12" s="2609"/>
      <c r="P12" s="2609"/>
      <c r="Q12" s="2610">
        <v>365</v>
      </c>
      <c r="R12" s="2611">
        <f t="shared" si="0"/>
        <v>0</v>
      </c>
      <c r="S12" s="2565"/>
      <c r="T12" s="2565"/>
      <c r="U12" s="2565"/>
      <c r="V12" s="2573"/>
    </row>
    <row r="13" spans="1:22" s="2577" customFormat="1" ht="13.15" customHeight="1">
      <c r="A13" s="2620"/>
      <c r="B13" s="2623"/>
      <c r="C13" s="2624" t="s">
        <v>2363</v>
      </c>
      <c r="D13" s="2625"/>
      <c r="E13" s="2626"/>
      <c r="F13" s="2615"/>
      <c r="G13" s="2616"/>
      <c r="H13" s="2572"/>
      <c r="I13" s="2573"/>
      <c r="J13" s="3352"/>
      <c r="K13" s="3354"/>
      <c r="L13" s="2607" t="s">
        <v>2364</v>
      </c>
      <c r="M13" s="2608"/>
      <c r="N13" s="2584"/>
      <c r="O13" s="2609"/>
      <c r="P13" s="2609"/>
      <c r="Q13" s="2610">
        <v>365</v>
      </c>
      <c r="R13" s="2611">
        <f t="shared" si="0"/>
        <v>0</v>
      </c>
      <c r="S13" s="2565"/>
      <c r="T13" s="2565"/>
      <c r="U13" s="2565"/>
      <c r="V13" s="2573"/>
    </row>
    <row r="14" spans="1:22" s="2577" customFormat="1" ht="13.15" customHeight="1">
      <c r="A14" s="2620" t="s">
        <v>2365</v>
      </c>
      <c r="B14" s="3362" t="s">
        <v>2366</v>
      </c>
      <c r="C14" s="3363"/>
      <c r="D14" s="2621">
        <f>ROUND(E14*B5/10000,0)</f>
        <v>0</v>
      </c>
      <c r="E14" s="2610"/>
      <c r="F14" s="2615" t="s">
        <v>2367</v>
      </c>
      <c r="G14" s="2616"/>
      <c r="H14" s="2572"/>
      <c r="I14" s="2573"/>
      <c r="J14" s="3352"/>
      <c r="K14" s="3355"/>
      <c r="L14" s="2627" t="s">
        <v>2368</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2369</v>
      </c>
      <c r="B15" s="3362" t="s">
        <v>2370</v>
      </c>
      <c r="C15" s="3363"/>
      <c r="D15" s="2621">
        <f>ROUND(D6*E15,0)</f>
        <v>0</v>
      </c>
      <c r="E15" s="2622">
        <v>5.5E-2</v>
      </c>
      <c r="F15" s="2615" t="s">
        <v>2371</v>
      </c>
      <c r="G15" s="2597"/>
      <c r="H15" s="2572"/>
      <c r="I15" s="2573"/>
      <c r="J15" s="3352">
        <v>2</v>
      </c>
      <c r="K15" s="3353" t="s">
        <v>2372</v>
      </c>
      <c r="L15" s="2607" t="s">
        <v>2373</v>
      </c>
      <c r="M15" s="2608" t="s">
        <v>2374</v>
      </c>
      <c r="N15" s="2608" t="s">
        <v>2375</v>
      </c>
      <c r="O15" s="2609" t="s">
        <v>2376</v>
      </c>
      <c r="P15" s="2609" t="s">
        <v>2338</v>
      </c>
      <c r="Q15" s="2584" t="s">
        <v>2377</v>
      </c>
      <c r="R15" s="2631" t="s">
        <v>2339</v>
      </c>
      <c r="S15" s="2565"/>
      <c r="T15" s="2565"/>
      <c r="U15" s="2565"/>
      <c r="V15" s="2573"/>
    </row>
    <row r="16" spans="1:22" s="2577" customFormat="1" ht="13.15" customHeight="1">
      <c r="A16" s="2620" t="s">
        <v>2378</v>
      </c>
      <c r="B16" s="3362" t="s">
        <v>2379</v>
      </c>
      <c r="C16" s="3363"/>
      <c r="D16" s="2632">
        <f>D6*E16</f>
        <v>0</v>
      </c>
      <c r="E16" s="2633"/>
      <c r="F16" s="2618" t="s">
        <v>2380</v>
      </c>
      <c r="G16" s="2597"/>
      <c r="H16" s="2572"/>
      <c r="I16" s="2573"/>
      <c r="J16" s="3352"/>
      <c r="K16" s="3354"/>
      <c r="L16" s="2607" t="s">
        <v>2381</v>
      </c>
      <c r="M16" s="2608"/>
      <c r="N16" s="2608"/>
      <c r="O16" s="2609"/>
      <c r="P16" s="2610">
        <v>365</v>
      </c>
      <c r="Q16" s="2584"/>
      <c r="R16" s="2631">
        <f>ROUND(M16*N16*O16*P16/10000,0)</f>
        <v>0</v>
      </c>
      <c r="S16" s="2565"/>
      <c r="T16" s="2565"/>
      <c r="U16" s="2565"/>
      <c r="V16" s="2573"/>
    </row>
    <row r="17" spans="1:22" s="2577" customFormat="1" ht="13.15" customHeight="1" thickBot="1">
      <c r="A17" s="2634">
        <v>4</v>
      </c>
      <c r="B17" s="3364" t="s">
        <v>2382</v>
      </c>
      <c r="C17" s="3365"/>
      <c r="D17" s="2635">
        <f>ROUND(D6*E17,0)</f>
        <v>0</v>
      </c>
      <c r="E17" s="2636"/>
      <c r="F17" s="2637" t="s">
        <v>2383</v>
      </c>
      <c r="G17" s="2597"/>
      <c r="H17" s="2572"/>
      <c r="I17" s="2573"/>
      <c r="J17" s="3352"/>
      <c r="K17" s="3354"/>
      <c r="L17" s="2607" t="s">
        <v>2384</v>
      </c>
      <c r="M17" s="2608"/>
      <c r="N17" s="2608"/>
      <c r="O17" s="2609"/>
      <c r="P17" s="2610">
        <v>365</v>
      </c>
      <c r="Q17" s="2584"/>
      <c r="R17" s="2631">
        <f>ROUND(M17*N17*O17*P17/10000,0)</f>
        <v>0</v>
      </c>
      <c r="S17" s="2565"/>
      <c r="T17" s="2565"/>
      <c r="U17" s="2565"/>
      <c r="V17" s="2573"/>
    </row>
    <row r="18" spans="1:22" s="2577" customFormat="1" ht="13.15" customHeight="1" thickBot="1">
      <c r="A18" s="2600" t="s">
        <v>2385</v>
      </c>
      <c r="B18" s="2601"/>
      <c r="C18" s="2601"/>
      <c r="D18" s="2638">
        <f>ROUND(D6*E18,0)</f>
        <v>0</v>
      </c>
      <c r="E18" s="2639"/>
      <c r="F18" s="2640" t="s">
        <v>2386</v>
      </c>
      <c r="G18" s="2597"/>
      <c r="H18" s="2572"/>
      <c r="I18" s="2573"/>
      <c r="J18" s="3352"/>
      <c r="K18" s="3354"/>
      <c r="L18" s="2607" t="s">
        <v>2387</v>
      </c>
      <c r="M18" s="2608"/>
      <c r="N18" s="2608"/>
      <c r="O18" s="2609"/>
      <c r="P18" s="2610">
        <v>365</v>
      </c>
      <c r="Q18" s="2584"/>
      <c r="R18" s="2631">
        <f>ROUND(M18*N18*O18*P18/10000,0)</f>
        <v>0</v>
      </c>
      <c r="S18" s="2565"/>
      <c r="T18" s="2565"/>
      <c r="U18" s="2565"/>
      <c r="V18" s="2573"/>
    </row>
    <row r="19" spans="1:22" s="2577" customFormat="1" ht="13.15" customHeight="1" thickBot="1">
      <c r="A19" s="2641" t="s">
        <v>2388</v>
      </c>
      <c r="B19" s="2595"/>
      <c r="C19" s="2595"/>
      <c r="D19" s="2595"/>
      <c r="E19" s="2595"/>
      <c r="F19" s="2596"/>
      <c r="G19" s="2616"/>
      <c r="H19" s="2572"/>
      <c r="I19" s="2573"/>
      <c r="J19" s="3352"/>
      <c r="K19" s="3355"/>
      <c r="L19" s="2627" t="s">
        <v>2368</v>
      </c>
      <c r="M19" s="2628"/>
      <c r="N19" s="2628">
        <f>SUM(N16:N18)</f>
        <v>0</v>
      </c>
      <c r="O19" s="2629"/>
      <c r="P19" s="2642" t="s">
        <v>2432</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352">
        <v>3</v>
      </c>
      <c r="K20" s="3353" t="s">
        <v>2389</v>
      </c>
      <c r="L20" s="2607" t="s">
        <v>2390</v>
      </c>
      <c r="M20" s="2608" t="s">
        <v>2391</v>
      </c>
      <c r="N20" s="2645" t="s">
        <v>2392</v>
      </c>
      <c r="O20" s="2609" t="s">
        <v>2393</v>
      </c>
      <c r="P20" s="2610" t="s">
        <v>2394</v>
      </c>
      <c r="Q20" s="2584" t="s">
        <v>2395</v>
      </c>
      <c r="R20" s="2631" t="s">
        <v>2396</v>
      </c>
      <c r="S20" s="2565"/>
      <c r="T20" s="2565"/>
      <c r="U20" s="2565"/>
      <c r="V20" s="2573"/>
    </row>
    <row r="21" spans="1:22" s="2577" customFormat="1" ht="13.15" customHeight="1">
      <c r="A21" s="2600"/>
      <c r="B21" s="2601"/>
      <c r="C21" s="2646" t="s">
        <v>2397</v>
      </c>
      <c r="D21" s="2647" t="s">
        <v>2398</v>
      </c>
      <c r="E21" s="2648" t="s">
        <v>2399</v>
      </c>
      <c r="F21" s="2644"/>
      <c r="G21" s="2616"/>
      <c r="H21" s="2572"/>
      <c r="I21" s="2573"/>
      <c r="J21" s="3352"/>
      <c r="K21" s="3354"/>
      <c r="L21" s="2607" t="s">
        <v>2400</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2401</v>
      </c>
      <c r="D22" s="2651" t="s">
        <v>2402</v>
      </c>
      <c r="E22" s="2652" t="s">
        <v>2403</v>
      </c>
      <c r="F22" s="2644"/>
      <c r="G22" s="2565"/>
      <c r="H22" s="2572"/>
      <c r="I22" s="2573"/>
      <c r="J22" s="3352"/>
      <c r="K22" s="3354"/>
      <c r="L22" s="2607" t="s">
        <v>2404</v>
      </c>
      <c r="M22" s="2608"/>
      <c r="N22" s="2608"/>
      <c r="O22" s="2609"/>
      <c r="P22" s="2610">
        <v>365</v>
      </c>
      <c r="Q22" s="2584"/>
      <c r="R22" s="2649">
        <f>ROUND(M22*N22*O22*P22/10000,0)</f>
        <v>0</v>
      </c>
      <c r="S22" s="2565"/>
      <c r="T22" s="2565"/>
      <c r="U22" s="2565"/>
      <c r="V22" s="2573"/>
    </row>
    <row r="23" spans="1:22" s="2577" customFormat="1" ht="13.15" customHeight="1">
      <c r="A23" s="2653">
        <v>1</v>
      </c>
      <c r="B23" s="2654" t="s">
        <v>2405</v>
      </c>
      <c r="C23" s="2655">
        <f>D6</f>
        <v>0</v>
      </c>
      <c r="D23" s="2656">
        <f>C23*(1+D24)</f>
        <v>0</v>
      </c>
      <c r="E23" s="2657">
        <f>D23*(1+E24)</f>
        <v>0</v>
      </c>
      <c r="F23" s="2658"/>
      <c r="G23" s="2659"/>
      <c r="H23" s="2572"/>
      <c r="I23" s="2573"/>
      <c r="J23" s="3352"/>
      <c r="K23" s="3354"/>
      <c r="L23" s="2607" t="s">
        <v>2406</v>
      </c>
      <c r="M23" s="2608"/>
      <c r="N23" s="2608"/>
      <c r="O23" s="2609"/>
      <c r="P23" s="2610">
        <v>365</v>
      </c>
      <c r="Q23" s="2584"/>
      <c r="R23" s="2649">
        <f>ROUND(M23*N23*O23*P23/10000,0)</f>
        <v>0</v>
      </c>
      <c r="S23" s="2565"/>
      <c r="T23" s="2565"/>
      <c r="U23" s="2565"/>
      <c r="V23" s="2573"/>
    </row>
    <row r="24" spans="1:22" s="2577" customFormat="1" ht="13.15" customHeight="1">
      <c r="A24" s="2660"/>
      <c r="B24" s="2661" t="s">
        <v>2407</v>
      </c>
      <c r="C24" s="2662"/>
      <c r="D24" s="2663"/>
      <c r="E24" s="2664"/>
      <c r="F24" s="2665"/>
      <c r="G24" s="2659"/>
      <c r="H24" s="2572"/>
      <c r="I24" s="2573"/>
      <c r="J24" s="3352"/>
      <c r="K24" s="3355"/>
      <c r="L24" s="2627" t="s">
        <v>2368</v>
      </c>
      <c r="M24" s="2628">
        <f>SUM(M21:M23)</f>
        <v>0</v>
      </c>
      <c r="N24" s="2628"/>
      <c r="O24" s="2629"/>
      <c r="P24" s="2642" t="s">
        <v>2432</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2408</v>
      </c>
      <c r="L25" s="2668"/>
      <c r="M25" s="2668"/>
      <c r="N25" s="2668"/>
      <c r="O25" s="2668"/>
      <c r="P25" s="2669"/>
      <c r="Q25" s="2670">
        <v>0</v>
      </c>
      <c r="R25" s="2643">
        <f>ROUND(R14*Q25,0)</f>
        <v>0</v>
      </c>
      <c r="S25" s="2565"/>
      <c r="T25" s="2565"/>
      <c r="U25" s="2565"/>
      <c r="V25" s="2671"/>
    </row>
    <row r="26" spans="1:22" s="2672" customFormat="1" ht="13.15" customHeight="1">
      <c r="A26" s="2653">
        <v>2</v>
      </c>
      <c r="B26" s="2654" t="s">
        <v>2409</v>
      </c>
      <c r="C26" s="2655">
        <f>D7</f>
        <v>0</v>
      </c>
      <c r="D26" s="2656">
        <f>D23*D27</f>
        <v>0</v>
      </c>
      <c r="E26" s="2657">
        <f>E23*E27</f>
        <v>0</v>
      </c>
      <c r="F26" s="2658"/>
      <c r="G26" s="2659"/>
      <c r="H26" s="2572"/>
      <c r="I26" s="2573"/>
      <c r="J26" s="3356">
        <v>5</v>
      </c>
      <c r="K26" s="2673" t="s">
        <v>2410</v>
      </c>
      <c r="L26" s="2674"/>
      <c r="M26" s="2675"/>
      <c r="N26" s="2676" t="s">
        <v>2411</v>
      </c>
      <c r="O26" s="2676" t="s">
        <v>2412</v>
      </c>
      <c r="P26" s="2677" t="s">
        <v>2413</v>
      </c>
      <c r="Q26" s="2677" t="s">
        <v>2414</v>
      </c>
      <c r="R26" s="2582" t="s">
        <v>2339</v>
      </c>
      <c r="S26" s="2616"/>
      <c r="T26" s="2616"/>
      <c r="U26" s="2616"/>
      <c r="V26" s="2671"/>
    </row>
    <row r="27" spans="1:22" s="2577" customFormat="1" ht="13.15" customHeight="1">
      <c r="A27" s="2660"/>
      <c r="B27" s="2661" t="s">
        <v>2415</v>
      </c>
      <c r="C27" s="2678" t="e">
        <f>E7</f>
        <v>#DIV/0!</v>
      </c>
      <c r="D27" s="2663"/>
      <c r="E27" s="2664"/>
      <c r="F27" s="2665"/>
      <c r="G27" s="2659"/>
      <c r="H27" s="2679"/>
      <c r="I27" s="2671"/>
      <c r="J27" s="3357"/>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2416</v>
      </c>
      <c r="F28" s="2665"/>
      <c r="G28" s="2565"/>
      <c r="H28" s="2679"/>
      <c r="I28" s="2671"/>
      <c r="J28" s="2685">
        <v>6</v>
      </c>
      <c r="K28" s="2686" t="s">
        <v>2417</v>
      </c>
      <c r="L28" s="2687" t="s">
        <v>2418</v>
      </c>
      <c r="M28" s="2688"/>
      <c r="N28" s="2687" t="s">
        <v>2419</v>
      </c>
      <c r="O28" s="2689"/>
      <c r="P28" s="2687" t="s">
        <v>2420</v>
      </c>
      <c r="Q28" s="2690">
        <v>1.4999999999999999E-2</v>
      </c>
      <c r="R28" s="2691"/>
      <c r="S28" s="2565"/>
      <c r="T28" s="2565"/>
      <c r="U28" s="2565"/>
      <c r="V28" s="2671"/>
    </row>
    <row r="29" spans="1:22" s="2672" customFormat="1" ht="13.15" customHeight="1">
      <c r="A29" s="2653">
        <v>3</v>
      </c>
      <c r="B29" s="2654" t="s">
        <v>2421</v>
      </c>
      <c r="C29" s="2655">
        <f>C23*C30</f>
        <v>0</v>
      </c>
      <c r="D29" s="2656">
        <f>D23*C30</f>
        <v>0</v>
      </c>
      <c r="E29" s="2657">
        <f>E23*C30</f>
        <v>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2415</v>
      </c>
      <c r="C30" s="2678">
        <f>E18</f>
        <v>0</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2422</v>
      </c>
      <c r="K31" s="2563"/>
      <c r="L31" s="2563"/>
      <c r="M31" s="2563"/>
      <c r="N31" s="2563"/>
      <c r="O31" s="2563"/>
      <c r="P31" s="2563"/>
      <c r="Q31" s="2563"/>
      <c r="R31" s="2564"/>
      <c r="S31" s="2565"/>
      <c r="T31" s="2565"/>
      <c r="U31" s="2565"/>
      <c r="V31" s="2671"/>
    </row>
    <row r="32" spans="1:22" s="2672" customFormat="1" ht="13.15" customHeight="1">
      <c r="A32" s="2653">
        <v>4</v>
      </c>
      <c r="B32" s="2654" t="s">
        <v>2423</v>
      </c>
      <c r="C32" s="2655">
        <f>C23-C26-C29</f>
        <v>0</v>
      </c>
      <c r="D32" s="2656">
        <f>D23-D26-D29</f>
        <v>0</v>
      </c>
      <c r="E32" s="2657">
        <f>E23-E26-E29</f>
        <v>0</v>
      </c>
      <c r="F32" s="2658"/>
      <c r="G32" s="2565"/>
      <c r="H32" s="2572"/>
      <c r="I32" s="2573"/>
      <c r="J32" s="3358" t="s">
        <v>2315</v>
      </c>
      <c r="K32" s="3359"/>
      <c r="L32" s="2574" t="s">
        <v>2316</v>
      </c>
      <c r="M32" s="2574" t="s">
        <v>2317</v>
      </c>
      <c r="N32" s="2574" t="s">
        <v>2318</v>
      </c>
      <c r="O32" s="2574" t="s">
        <v>2319</v>
      </c>
      <c r="P32" s="2574" t="s">
        <v>2320</v>
      </c>
      <c r="Q32" s="2575" t="s">
        <v>2321</v>
      </c>
      <c r="R32" s="2694" t="s">
        <v>2322</v>
      </c>
      <c r="S32" s="2565"/>
      <c r="T32" s="2565"/>
      <c r="U32" s="2565"/>
      <c r="V32" s="2671"/>
    </row>
    <row r="33" spans="1:23" s="2577" customFormat="1" ht="13.15" customHeight="1">
      <c r="A33" s="2653"/>
      <c r="B33" s="2654"/>
      <c r="C33" s="2655"/>
      <c r="D33" s="2695"/>
      <c r="E33" s="2696"/>
      <c r="F33" s="2658"/>
      <c r="G33" s="2565"/>
      <c r="H33" s="2679"/>
      <c r="I33" s="2671"/>
      <c r="J33" s="3360" t="s">
        <v>2325</v>
      </c>
      <c r="K33" s="3361"/>
      <c r="L33" s="2580"/>
      <c r="M33" s="2580"/>
      <c r="N33" s="2580"/>
      <c r="O33" s="2580"/>
      <c r="P33" s="2580"/>
      <c r="Q33" s="2581"/>
      <c r="R33" s="2697">
        <f>SUM(L33:Q33)</f>
        <v>0</v>
      </c>
      <c r="S33" s="2565"/>
      <c r="T33" s="2565"/>
      <c r="U33" s="2565"/>
      <c r="V33" s="2573"/>
    </row>
    <row r="34" spans="1:23" s="2577" customFormat="1" ht="13.15" customHeight="1">
      <c r="A34" s="2653">
        <v>5</v>
      </c>
      <c r="B34" s="2654" t="s">
        <v>2424</v>
      </c>
      <c r="C34" s="2698"/>
      <c r="D34" s="2699"/>
      <c r="E34" s="2700"/>
      <c r="F34" s="2658"/>
      <c r="G34" s="2565"/>
      <c r="H34" s="2679"/>
      <c r="I34" s="2671"/>
      <c r="J34" s="3360" t="s">
        <v>2327</v>
      </c>
      <c r="K34" s="3361"/>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2425</v>
      </c>
      <c r="C35" s="2702"/>
      <c r="D35" s="2703"/>
      <c r="E35" s="2704"/>
      <c r="F35" s="2658"/>
      <c r="G35" s="2705"/>
      <c r="H35" s="2572"/>
      <c r="I35" s="2671"/>
      <c r="J35" s="2591" t="s">
        <v>2329</v>
      </c>
      <c r="K35" s="2592"/>
      <c r="L35" s="2592"/>
      <c r="M35" s="2593"/>
      <c r="N35" s="2593"/>
      <c r="O35" s="2593"/>
      <c r="P35" s="2593"/>
      <c r="Q35" s="2593"/>
      <c r="R35" s="2706">
        <f>R40+R41+R43</f>
        <v>0</v>
      </c>
      <c r="S35" s="2565"/>
      <c r="T35" s="2565" t="s">
        <v>2330</v>
      </c>
      <c r="U35" s="2565"/>
      <c r="V35" s="2573"/>
    </row>
    <row r="36" spans="1:23" s="2577" customFormat="1" ht="13.15" customHeight="1" thickBot="1">
      <c r="A36" s="2653">
        <v>7</v>
      </c>
      <c r="B36" s="2707" t="s">
        <v>2426</v>
      </c>
      <c r="C36" s="2708"/>
      <c r="D36" s="2709"/>
      <c r="E36" s="2710"/>
      <c r="F36" s="2711">
        <f>C36+D36+E36</f>
        <v>0</v>
      </c>
      <c r="G36" s="2565"/>
      <c r="H36" s="2572"/>
      <c r="I36" s="2573"/>
      <c r="J36" s="3352">
        <v>1</v>
      </c>
      <c r="K36" s="3353" t="s">
        <v>2427</v>
      </c>
      <c r="L36" s="2598"/>
      <c r="M36" s="2599"/>
      <c r="N36" s="2599"/>
      <c r="O36" s="2599"/>
      <c r="P36" s="2599"/>
      <c r="Q36" s="2599"/>
      <c r="R36" s="2582" t="s">
        <v>2339</v>
      </c>
      <c r="S36" s="2565"/>
      <c r="T36" s="2565" t="s">
        <v>2340</v>
      </c>
      <c r="U36" s="2565"/>
      <c r="V36" s="2573"/>
    </row>
    <row r="37" spans="1:23" s="2577" customFormat="1" ht="13.15" customHeight="1">
      <c r="A37" s="2653"/>
      <c r="B37" s="2654"/>
      <c r="C37" s="2654"/>
      <c r="D37" s="2654"/>
      <c r="E37" s="2654"/>
      <c r="F37" s="2658"/>
      <c r="G37" s="2565"/>
      <c r="H37" s="2572"/>
      <c r="I37" s="2573"/>
      <c r="J37" s="3352"/>
      <c r="K37" s="3354"/>
      <c r="L37" s="2607"/>
      <c r="M37" s="2608"/>
      <c r="N37" s="2584"/>
      <c r="O37" s="2609"/>
      <c r="P37" s="2609"/>
      <c r="Q37" s="2610"/>
      <c r="R37" s="2611"/>
      <c r="S37" s="2565"/>
      <c r="T37" s="2565" t="s">
        <v>2343</v>
      </c>
      <c r="U37" s="2565"/>
      <c r="V37" s="2573"/>
    </row>
    <row r="38" spans="1:23" s="2577" customFormat="1" ht="13.15" customHeight="1">
      <c r="A38" s="2653">
        <v>8</v>
      </c>
      <c r="B38" s="2654"/>
      <c r="C38" s="2613" t="e">
        <f>ROUND(C32*(1-((1+C35)/(1+C34))^C36)/(C34-C35),0)</f>
        <v>#DIV/0!</v>
      </c>
      <c r="D38" s="2613">
        <f>IF(D23=0,0,ROUND(D32*(1-((1+D35)/(1+D34))^D36)/(D34-D35),0))</f>
        <v>0</v>
      </c>
      <c r="E38" s="2613">
        <f>IF(E23=0,0,ROUND(E32*(1-((1+E35)/(1+E34))^E36)/(E34-E35),0))</f>
        <v>0</v>
      </c>
      <c r="F38" s="2658"/>
      <c r="G38" s="2565"/>
      <c r="H38" s="2572"/>
      <c r="I38" s="2573"/>
      <c r="J38" s="3352"/>
      <c r="K38" s="3354"/>
      <c r="L38" s="2607"/>
      <c r="M38" s="2608"/>
      <c r="N38" s="2584"/>
      <c r="O38" s="2609"/>
      <c r="P38" s="2609"/>
      <c r="Q38" s="2610"/>
      <c r="R38" s="2611"/>
      <c r="S38" s="2565"/>
      <c r="T38" s="2565" t="s">
        <v>2350</v>
      </c>
      <c r="U38" s="2565"/>
      <c r="V38" s="2573"/>
    </row>
    <row r="39" spans="1:23" s="2577" customFormat="1" ht="13.15" customHeight="1">
      <c r="A39" s="2653">
        <v>9</v>
      </c>
      <c r="B39" s="2654" t="s">
        <v>2428</v>
      </c>
      <c r="C39" s="2621" t="e">
        <f>C38</f>
        <v>#DIV/0!</v>
      </c>
      <c r="D39" s="2654">
        <f>D38/(1+D34)^C36</f>
        <v>0</v>
      </c>
      <c r="E39" s="2654">
        <f>E38/(1+E34)^(C36+D36)</f>
        <v>0</v>
      </c>
      <c r="F39" s="2658"/>
      <c r="G39" s="2573"/>
      <c r="H39" s="2572"/>
      <c r="I39" s="2573"/>
      <c r="J39" s="3352"/>
      <c r="K39" s="3354"/>
      <c r="L39" s="2607"/>
      <c r="M39" s="2608"/>
      <c r="N39" s="2584"/>
      <c r="O39" s="2609"/>
      <c r="P39" s="2609"/>
      <c r="Q39" s="2610"/>
      <c r="R39" s="2611"/>
      <c r="S39" s="2565"/>
      <c r="T39" s="2565"/>
      <c r="U39" s="2565"/>
      <c r="V39" s="2573"/>
    </row>
    <row r="40" spans="1:23" s="2577" customFormat="1" ht="13.15" customHeight="1">
      <c r="A40" s="2712">
        <v>10</v>
      </c>
      <c r="B40" s="2654" t="s">
        <v>2429</v>
      </c>
      <c r="C40" s="2713" t="e">
        <f>C39+D39+E39</f>
        <v>#DIV/0!</v>
      </c>
      <c r="D40" s="2714"/>
      <c r="E40" s="2714"/>
      <c r="F40" s="2715"/>
      <c r="G40" s="2565"/>
      <c r="H40" s="2572"/>
      <c r="I40" s="2573"/>
      <c r="J40" s="3352"/>
      <c r="K40" s="3355"/>
      <c r="L40" s="2627" t="s">
        <v>2368</v>
      </c>
      <c r="M40" s="2628"/>
      <c r="N40" s="2628"/>
      <c r="O40" s="2629"/>
      <c r="P40" s="2629"/>
      <c r="Q40" s="2630"/>
      <c r="R40" s="2576">
        <f>SUM(R37:R39)</f>
        <v>0</v>
      </c>
      <c r="S40" s="2565"/>
      <c r="T40" s="2565"/>
      <c r="U40" s="2565"/>
      <c r="V40" s="2573"/>
    </row>
    <row r="41" spans="1:23" s="2577" customFormat="1" ht="13.15" customHeight="1" thickBot="1">
      <c r="A41" s="2716">
        <v>11</v>
      </c>
      <c r="B41" s="2717" t="s">
        <v>2430</v>
      </c>
      <c r="C41" s="2717" t="e">
        <f>ROUND(C40*10000/B4,0)</f>
        <v>#DIV/0!</v>
      </c>
      <c r="D41" s="2718"/>
      <c r="E41" s="2718"/>
      <c r="F41" s="2719"/>
      <c r="G41" s="2572"/>
      <c r="H41" s="2572"/>
      <c r="I41" s="2573"/>
      <c r="J41" s="2666">
        <v>2</v>
      </c>
      <c r="K41" s="2667" t="s">
        <v>2408</v>
      </c>
      <c r="L41" s="2668"/>
      <c r="M41" s="2668"/>
      <c r="N41" s="2668"/>
      <c r="O41" s="2668"/>
      <c r="P41" s="2669"/>
      <c r="Q41" s="2670"/>
      <c r="R41" s="2643">
        <f>ROUND(R40*Q41,0)</f>
        <v>0</v>
      </c>
      <c r="S41" s="2565"/>
      <c r="T41" s="2565"/>
      <c r="U41" s="2616"/>
      <c r="V41" s="2573"/>
    </row>
    <row r="42" spans="1:23" s="2577" customFormat="1" ht="13.15" customHeight="1">
      <c r="G42" s="2572"/>
      <c r="H42" s="2572"/>
      <c r="I42" s="2573"/>
      <c r="J42" s="3356">
        <v>3</v>
      </c>
      <c r="K42" s="2673" t="s">
        <v>2410</v>
      </c>
      <c r="L42" s="2674"/>
      <c r="M42" s="2675"/>
      <c r="N42" s="2676" t="s">
        <v>2411</v>
      </c>
      <c r="O42" s="2676" t="s">
        <v>2412</v>
      </c>
      <c r="P42" s="2677" t="s">
        <v>2413</v>
      </c>
      <c r="Q42" s="2677" t="s">
        <v>2414</v>
      </c>
      <c r="R42" s="2582" t="s">
        <v>2339</v>
      </c>
      <c r="S42" s="2616"/>
      <c r="T42" s="2616"/>
      <c r="U42" s="2565"/>
      <c r="V42" s="2573"/>
    </row>
    <row r="43" spans="1:23" ht="13.15" customHeight="1">
      <c r="A43" s="2577"/>
      <c r="B43" s="2577"/>
      <c r="C43" s="2577"/>
      <c r="D43" s="2577"/>
      <c r="E43" s="2577"/>
      <c r="F43" s="2577"/>
      <c r="I43" s="2560"/>
      <c r="J43" s="3357"/>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2417</v>
      </c>
      <c r="L44" s="2722" t="s">
        <v>2418</v>
      </c>
      <c r="M44" s="2688"/>
      <c r="N44" s="2722" t="s">
        <v>2419</v>
      </c>
      <c r="O44" s="2688"/>
      <c r="P44" s="2722" t="s">
        <v>2420</v>
      </c>
      <c r="Q44" s="2690">
        <v>1.4999999999999999E-2</v>
      </c>
      <c r="R44" s="26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5039</v>
      </c>
      <c r="C2" s="1706" t="s">
        <v>1651</v>
      </c>
      <c r="D2" s="1707" t="s">
        <v>1652</v>
      </c>
      <c r="E2" s="2370">
        <f>SUM(E6:E13)</f>
        <v>6647.2</v>
      </c>
      <c r="F2" s="2454"/>
      <c r="G2" s="452"/>
      <c r="H2" s="452"/>
      <c r="I2" s="452"/>
      <c r="J2" s="452"/>
      <c r="K2" s="452"/>
      <c r="L2" s="452"/>
      <c r="M2" s="452"/>
      <c r="N2" s="452"/>
      <c r="O2" s="452"/>
      <c r="P2" s="452"/>
      <c r="Q2" s="452"/>
      <c r="R2" s="452"/>
      <c r="S2" s="452"/>
    </row>
    <row r="3" spans="1:22" ht="15.75">
      <c r="A3" s="1705" t="s">
        <v>686</v>
      </c>
      <c r="B3" s="2364">
        <f ca="1">ROUND(B2*10000/E2,0)</f>
        <v>7581</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71" t="s">
        <v>1654</v>
      </c>
      <c r="C5" s="3372"/>
      <c r="D5" s="2455"/>
      <c r="E5" s="1708" t="s">
        <v>1655</v>
      </c>
      <c r="F5" s="123" t="s">
        <v>1656</v>
      </c>
      <c r="G5" s="452"/>
      <c r="H5" s="452"/>
      <c r="I5" s="452"/>
      <c r="J5" s="452"/>
      <c r="K5" s="452"/>
      <c r="L5" s="452"/>
      <c r="M5" s="452"/>
      <c r="N5" s="452"/>
      <c r="O5" s="452"/>
      <c r="P5" s="452"/>
      <c r="Q5" s="452"/>
      <c r="R5" s="452"/>
      <c r="S5" s="452"/>
    </row>
    <row r="6" spans="1:22">
      <c r="A6" s="2367" t="str">
        <f>'数据-取费表'!AN6</f>
        <v>收益法</v>
      </c>
      <c r="B6" s="2365">
        <f ca="1">IF(F6="是",'数据-取费表'!AO6,0)</f>
        <v>5039</v>
      </c>
      <c r="C6" s="1706" t="s">
        <v>1651</v>
      </c>
      <c r="D6" s="2454"/>
      <c r="E6" s="2369">
        <f>IF(OR(A6=0,F6="否"),0,'数据-取费表'!K6+'数据-取费表'!S6)</f>
        <v>6647.2</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7"/>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6647.2</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91" t="s">
        <v>1667</v>
      </c>
      <c r="D4" s="3392"/>
      <c r="E4" s="3393" t="s">
        <v>1668</v>
      </c>
      <c r="F4" s="3394"/>
      <c r="G4" s="3391" t="s">
        <v>1669</v>
      </c>
      <c r="H4" s="3392"/>
      <c r="I4" s="3391" t="s">
        <v>1670</v>
      </c>
      <c r="J4" s="3392"/>
      <c r="K4" s="1721" t="s">
        <v>1671</v>
      </c>
      <c r="L4" s="2461"/>
      <c r="M4" s="2462"/>
      <c r="N4" s="2462"/>
      <c r="O4" s="2462"/>
      <c r="P4" s="3395" t="s">
        <v>1672</v>
      </c>
      <c r="Q4" s="3396"/>
      <c r="R4" s="3401" t="s">
        <v>1668</v>
      </c>
      <c r="S4" s="3402"/>
      <c r="T4" s="3401" t="s">
        <v>1669</v>
      </c>
      <c r="U4" s="3402"/>
      <c r="V4" s="3377" t="s">
        <v>1670</v>
      </c>
      <c r="W4" s="3377"/>
      <c r="X4" s="1243"/>
      <c r="Y4" s="3401" t="s">
        <v>1672</v>
      </c>
      <c r="Z4" s="3402"/>
      <c r="AA4" s="3388" t="s">
        <v>1668</v>
      </c>
      <c r="AB4" s="3388" t="s">
        <v>1669</v>
      </c>
      <c r="AC4" s="3388" t="s">
        <v>1670</v>
      </c>
    </row>
    <row r="5" spans="1:29" ht="15">
      <c r="A5" s="341"/>
      <c r="B5" s="342"/>
      <c r="C5" s="3409" t="s">
        <v>1673</v>
      </c>
      <c r="D5" s="3410"/>
      <c r="E5" s="3416" t="s">
        <v>1674</v>
      </c>
      <c r="F5" s="3417"/>
      <c r="G5" s="3409" t="s">
        <v>1675</v>
      </c>
      <c r="H5" s="3410"/>
      <c r="I5" s="3409" t="s">
        <v>1676</v>
      </c>
      <c r="J5" s="3410"/>
      <c r="K5" s="1722"/>
      <c r="L5" s="2461"/>
      <c r="M5" s="2462"/>
      <c r="N5" s="2462"/>
      <c r="O5" s="2462"/>
      <c r="P5" s="3397"/>
      <c r="Q5" s="3398"/>
      <c r="R5" s="3403"/>
      <c r="S5" s="3404"/>
      <c r="T5" s="3403"/>
      <c r="U5" s="3404"/>
      <c r="V5" s="3377"/>
      <c r="W5" s="3377"/>
      <c r="X5" s="1243"/>
      <c r="Y5" s="3403"/>
      <c r="Z5" s="3404"/>
      <c r="AA5" s="3389"/>
      <c r="AB5" s="3389"/>
      <c r="AC5" s="3389"/>
    </row>
    <row r="6" spans="1:29" ht="15.75" thickBot="1">
      <c r="A6" s="343"/>
      <c r="B6" s="344"/>
      <c r="C6" s="3407" t="s">
        <v>1677</v>
      </c>
      <c r="D6" s="3408"/>
      <c r="E6" s="3414" t="s">
        <v>1677</v>
      </c>
      <c r="F6" s="3415"/>
      <c r="G6" s="3407" t="s">
        <v>1677</v>
      </c>
      <c r="H6" s="3408"/>
      <c r="I6" s="3407" t="s">
        <v>1677</v>
      </c>
      <c r="J6" s="3408"/>
      <c r="K6" s="1722" t="s">
        <v>1678</v>
      </c>
      <c r="L6" s="2461"/>
      <c r="M6" s="2462"/>
      <c r="N6" s="2462"/>
      <c r="O6" s="2462"/>
      <c r="P6" s="3399"/>
      <c r="Q6" s="3400"/>
      <c r="R6" s="3403"/>
      <c r="S6" s="3404"/>
      <c r="T6" s="3405"/>
      <c r="U6" s="3406"/>
      <c r="V6" s="3377"/>
      <c r="W6" s="3377"/>
      <c r="X6" s="1243"/>
      <c r="Y6" s="3405"/>
      <c r="Z6" s="3406"/>
      <c r="AA6" s="3390"/>
      <c r="AB6" s="3390"/>
      <c r="AC6" s="3390"/>
    </row>
    <row r="7" spans="1:29" s="101" customFormat="1" ht="15.75" thickBot="1">
      <c r="A7" s="345" t="s">
        <v>1679</v>
      </c>
      <c r="B7" s="346"/>
      <c r="C7" s="347">
        <f>'数据-取费表'!B2</f>
        <v>45695</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411" t="s">
        <v>1680</v>
      </c>
      <c r="Q7" s="3413"/>
      <c r="R7" s="654" t="s">
        <v>20</v>
      </c>
      <c r="S7" s="655">
        <f t="shared" ref="S7:S15" si="0">F7</f>
        <v>0</v>
      </c>
      <c r="T7" s="654" t="s">
        <v>20</v>
      </c>
      <c r="U7" s="655">
        <f t="shared" ref="U7:U15" si="1">H7</f>
        <v>0</v>
      </c>
      <c r="V7" s="654" t="s">
        <v>20</v>
      </c>
      <c r="W7" s="655">
        <f t="shared" ref="W7:W15" si="2">J7</f>
        <v>0</v>
      </c>
      <c r="X7" s="656"/>
      <c r="Y7" s="3411" t="s">
        <v>1680</v>
      </c>
      <c r="Z7" s="3412"/>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411" t="s">
        <v>1683</v>
      </c>
      <c r="Q8" s="3412"/>
      <c r="R8" s="654" t="s">
        <v>20</v>
      </c>
      <c r="S8" s="655">
        <f t="shared" si="0"/>
        <v>100</v>
      </c>
      <c r="T8" s="654" t="s">
        <v>20</v>
      </c>
      <c r="U8" s="655">
        <f t="shared" si="1"/>
        <v>100</v>
      </c>
      <c r="V8" s="654" t="s">
        <v>20</v>
      </c>
      <c r="W8" s="655">
        <f t="shared" si="2"/>
        <v>100</v>
      </c>
      <c r="X8" s="656"/>
      <c r="Y8" s="3411" t="s">
        <v>1683</v>
      </c>
      <c r="Z8" s="3412"/>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87" t="s">
        <v>1686</v>
      </c>
      <c r="Q9" s="523" t="str">
        <f t="shared" ref="Q9:Q15" si="6">B9</f>
        <v>用途</v>
      </c>
      <c r="R9" s="654" t="s">
        <v>14</v>
      </c>
      <c r="S9" s="655">
        <f t="shared" si="0"/>
        <v>100</v>
      </c>
      <c r="T9" s="654" t="s">
        <v>14</v>
      </c>
      <c r="U9" s="655">
        <f t="shared" si="1"/>
        <v>100</v>
      </c>
      <c r="V9" s="654" t="s">
        <v>14</v>
      </c>
      <c r="W9" s="655">
        <f t="shared" si="2"/>
        <v>100</v>
      </c>
      <c r="X9" s="656"/>
      <c r="Y9" s="3232"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387"/>
      <c r="Q10" s="523" t="str">
        <f t="shared" si="6"/>
        <v>土地使用年限（年）</v>
      </c>
      <c r="R10" s="654" t="s">
        <v>14</v>
      </c>
      <c r="S10" s="655">
        <f t="shared" si="0"/>
        <v>100</v>
      </c>
      <c r="T10" s="654" t="s">
        <v>14</v>
      </c>
      <c r="U10" s="655">
        <f t="shared" si="1"/>
        <v>100</v>
      </c>
      <c r="V10" s="654" t="s">
        <v>14</v>
      </c>
      <c r="W10" s="655">
        <f t="shared" si="2"/>
        <v>100</v>
      </c>
      <c r="X10" s="656"/>
      <c r="Y10" s="3232"/>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87"/>
      <c r="Q11" s="523" t="str">
        <f t="shared" si="6"/>
        <v>容积率</v>
      </c>
      <c r="R11" s="654" t="s">
        <v>18</v>
      </c>
      <c r="S11" s="655" t="e">
        <f t="shared" si="0"/>
        <v>#N/A</v>
      </c>
      <c r="T11" s="654" t="s">
        <v>18</v>
      </c>
      <c r="U11" s="655" t="e">
        <f t="shared" si="1"/>
        <v>#N/A</v>
      </c>
      <c r="V11" s="654" t="s">
        <v>18</v>
      </c>
      <c r="W11" s="655" t="e">
        <f t="shared" si="2"/>
        <v>#N/A</v>
      </c>
      <c r="X11" s="656"/>
      <c r="Y11" s="3232"/>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87"/>
      <c r="Q12" s="523">
        <f t="shared" si="6"/>
        <v>111</v>
      </c>
      <c r="R12" s="654" t="s">
        <v>18</v>
      </c>
      <c r="S12" s="655">
        <f t="shared" si="0"/>
        <v>100</v>
      </c>
      <c r="T12" s="654" t="s">
        <v>18</v>
      </c>
      <c r="U12" s="655">
        <f t="shared" si="1"/>
        <v>100</v>
      </c>
      <c r="V12" s="654" t="s">
        <v>18</v>
      </c>
      <c r="W12" s="655">
        <f t="shared" si="2"/>
        <v>100</v>
      </c>
      <c r="X12" s="656"/>
      <c r="Y12" s="3232"/>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87"/>
      <c r="Q13" s="523">
        <f t="shared" si="6"/>
        <v>111</v>
      </c>
      <c r="R13" s="654" t="s">
        <v>18</v>
      </c>
      <c r="S13" s="655">
        <f t="shared" si="0"/>
        <v>100</v>
      </c>
      <c r="T13" s="654" t="s">
        <v>18</v>
      </c>
      <c r="U13" s="655">
        <f t="shared" si="1"/>
        <v>100</v>
      </c>
      <c r="V13" s="654" t="s">
        <v>18</v>
      </c>
      <c r="W13" s="655">
        <f t="shared" si="2"/>
        <v>100</v>
      </c>
      <c r="X13" s="656"/>
      <c r="Y13" s="3232"/>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87"/>
      <c r="Q14" s="523">
        <f t="shared" si="6"/>
        <v>111</v>
      </c>
      <c r="R14" s="654" t="s">
        <v>18</v>
      </c>
      <c r="S14" s="655">
        <f t="shared" si="0"/>
        <v>100</v>
      </c>
      <c r="T14" s="654" t="s">
        <v>18</v>
      </c>
      <c r="U14" s="655">
        <f t="shared" si="1"/>
        <v>100</v>
      </c>
      <c r="V14" s="654" t="s">
        <v>18</v>
      </c>
      <c r="W14" s="655">
        <f t="shared" si="2"/>
        <v>100</v>
      </c>
      <c r="X14" s="656"/>
      <c r="Y14" s="3232"/>
      <c r="Z14" s="50">
        <f t="shared" si="7"/>
        <v>111</v>
      </c>
      <c r="AA14" s="50">
        <f t="shared" si="3"/>
        <v>1</v>
      </c>
      <c r="AB14" s="50">
        <f t="shared" si="4"/>
        <v>1</v>
      </c>
      <c r="AC14" s="50">
        <f t="shared" si="5"/>
        <v>1</v>
      </c>
    </row>
    <row r="15" spans="1:29" ht="85.5">
      <c r="A15" s="372" t="s">
        <v>1690</v>
      </c>
      <c r="B15" s="58" t="s">
        <v>1257</v>
      </c>
      <c r="C15" s="1727" t="str">
        <f>估价对象房地状况!C3</f>
        <v>估价对象周边居住用地比例、居住小区规模和社区发展完善程度，综合评价居住社区成熟度一般</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385" t="s">
        <v>1691</v>
      </c>
      <c r="Q15" s="1241" t="str">
        <f t="shared" si="6"/>
        <v>居住社区成熟度</v>
      </c>
      <c r="R15" s="657" t="s">
        <v>18</v>
      </c>
      <c r="S15" s="658">
        <f t="shared" si="0"/>
        <v>100</v>
      </c>
      <c r="T15" s="657" t="s">
        <v>18</v>
      </c>
      <c r="U15" s="658">
        <f t="shared" si="1"/>
        <v>100</v>
      </c>
      <c r="V15" s="657" t="s">
        <v>18</v>
      </c>
      <c r="W15" s="658">
        <f t="shared" si="2"/>
        <v>100</v>
      </c>
      <c r="X15" s="1243"/>
      <c r="Y15" s="3378"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386"/>
      <c r="Q16" s="1241"/>
      <c r="R16" s="657"/>
      <c r="S16" s="658"/>
      <c r="T16" s="657"/>
      <c r="U16" s="658"/>
      <c r="V16" s="657"/>
      <c r="W16" s="658"/>
      <c r="X16" s="1243"/>
      <c r="Y16" s="3379"/>
      <c r="Z16" s="1242"/>
      <c r="AA16" s="1242">
        <v>1</v>
      </c>
      <c r="AB16" s="1242">
        <v>1</v>
      </c>
      <c r="AC16" s="1242">
        <v>1</v>
      </c>
    </row>
    <row r="17" spans="1:29" ht="71.25">
      <c r="A17" s="360"/>
      <c r="B17" s="383" t="s">
        <v>1259</v>
      </c>
      <c r="C17" s="1731" t="str">
        <f>估价对象房地状况!C6</f>
        <v>估价对象周边道路状况、公共交通通达情况、停车便捷程度，综合评价交通便捷度较好</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386"/>
      <c r="Q17" s="1241" t="str">
        <f>B17</f>
        <v>交通便捷度</v>
      </c>
      <c r="R17" s="657" t="s">
        <v>18</v>
      </c>
      <c r="S17" s="658">
        <f>F17</f>
        <v>100</v>
      </c>
      <c r="T17" s="657" t="s">
        <v>18</v>
      </c>
      <c r="U17" s="658">
        <f>H17</f>
        <v>100</v>
      </c>
      <c r="V17" s="657" t="s">
        <v>18</v>
      </c>
      <c r="W17" s="658">
        <f>J17</f>
        <v>100</v>
      </c>
      <c r="X17" s="1243"/>
      <c r="Y17" s="3379"/>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386"/>
      <c r="Q18" s="1241"/>
      <c r="R18" s="657"/>
      <c r="S18" s="658"/>
      <c r="T18" s="657"/>
      <c r="U18" s="658"/>
      <c r="V18" s="657"/>
      <c r="W18" s="658"/>
      <c r="X18" s="1243"/>
      <c r="Y18" s="3379"/>
      <c r="Z18" s="1242"/>
      <c r="AA18" s="1242">
        <v>1</v>
      </c>
      <c r="AB18" s="1242">
        <v>1</v>
      </c>
      <c r="AC18" s="1242">
        <v>1</v>
      </c>
    </row>
    <row r="19" spans="1:29" ht="42.75">
      <c r="A19" s="360"/>
      <c r="B19" s="383" t="s">
        <v>1258</v>
      </c>
      <c r="C19" s="1731" t="str">
        <f>估价对象房地状况!C7</f>
        <v>估价对象所在区域公共配套设施齐备情况</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386"/>
      <c r="Q19" s="1241" t="str">
        <f>B19</f>
        <v>公共配套设施</v>
      </c>
      <c r="R19" s="657" t="s">
        <v>18</v>
      </c>
      <c r="S19" s="658">
        <f>F19</f>
        <v>100</v>
      </c>
      <c r="T19" s="657" t="s">
        <v>18</v>
      </c>
      <c r="U19" s="658">
        <f>H19</f>
        <v>100</v>
      </c>
      <c r="V19" s="657" t="s">
        <v>18</v>
      </c>
      <c r="W19" s="658">
        <f>J19</f>
        <v>100</v>
      </c>
      <c r="X19" s="1243"/>
      <c r="Y19" s="3379"/>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386"/>
      <c r="Q20" s="1241"/>
      <c r="R20" s="657"/>
      <c r="S20" s="658"/>
      <c r="T20" s="657"/>
      <c r="U20" s="658"/>
      <c r="V20" s="657"/>
      <c r="W20" s="658"/>
      <c r="X20" s="1243"/>
      <c r="Y20" s="3379"/>
      <c r="Z20" s="1242"/>
      <c r="AA20" s="1242">
        <v>1</v>
      </c>
      <c r="AB20" s="1242">
        <v>1</v>
      </c>
      <c r="AC20" s="1242">
        <v>1</v>
      </c>
    </row>
    <row r="21" spans="1:29" ht="28.5">
      <c r="A21" s="360"/>
      <c r="B21" s="579" t="s">
        <v>1260</v>
      </c>
      <c r="C21" s="1731" t="str">
        <f>估价对象房地状况!C8</f>
        <v>估价对象所在区域基础设施水平</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386"/>
      <c r="Q21" s="1241" t="str">
        <f>B21</f>
        <v>基础设施水平</v>
      </c>
      <c r="R21" s="657" t="s">
        <v>14</v>
      </c>
      <c r="S21" s="658">
        <f>F21</f>
        <v>100</v>
      </c>
      <c r="T21" s="657" t="s">
        <v>14</v>
      </c>
      <c r="U21" s="658">
        <f>H21</f>
        <v>100</v>
      </c>
      <c r="V21" s="657" t="s">
        <v>14</v>
      </c>
      <c r="W21" s="658">
        <f>J21</f>
        <v>100</v>
      </c>
      <c r="X21" s="1243"/>
      <c r="Y21" s="3379"/>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386"/>
      <c r="Q22" s="1241"/>
      <c r="R22" s="657"/>
      <c r="S22" s="658"/>
      <c r="T22" s="657"/>
      <c r="U22" s="658"/>
      <c r="V22" s="657"/>
      <c r="W22" s="658"/>
      <c r="X22" s="1243"/>
      <c r="Y22" s="3379"/>
      <c r="Z22" s="1242"/>
      <c r="AA22" s="1242">
        <v>1</v>
      </c>
      <c r="AB22" s="1242">
        <v>1</v>
      </c>
      <c r="AC22" s="1242">
        <v>1</v>
      </c>
    </row>
    <row r="23" spans="1:29" ht="42.75">
      <c r="A23" s="360"/>
      <c r="B23" s="383" t="s">
        <v>1261</v>
      </c>
      <c r="C23" s="1731" t="str">
        <f>估价对象房地状况!C9</f>
        <v>区域自然环境：；人文环境；综合评价环境状况一般</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386"/>
      <c r="Q23" s="1241" t="str">
        <f>B23</f>
        <v>自然及人文环境</v>
      </c>
      <c r="R23" s="657" t="s">
        <v>18</v>
      </c>
      <c r="S23" s="658">
        <f>F23</f>
        <v>100</v>
      </c>
      <c r="T23" s="657" t="s">
        <v>18</v>
      </c>
      <c r="U23" s="658">
        <f>H23</f>
        <v>100</v>
      </c>
      <c r="V23" s="657" t="s">
        <v>18</v>
      </c>
      <c r="W23" s="658">
        <f>J23</f>
        <v>100</v>
      </c>
      <c r="X23" s="1243"/>
      <c r="Y23" s="3379"/>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386"/>
      <c r="Q24" s="1241"/>
      <c r="R24" s="657"/>
      <c r="S24" s="658"/>
      <c r="T24" s="657"/>
      <c r="U24" s="658"/>
      <c r="V24" s="657"/>
      <c r="W24" s="658"/>
      <c r="X24" s="1243"/>
      <c r="Y24" s="3379"/>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386"/>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79"/>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386"/>
      <c r="Q26" s="1241" t="str">
        <f t="shared" si="11"/>
        <v>朝向</v>
      </c>
      <c r="R26" s="657" t="s">
        <v>18</v>
      </c>
      <c r="S26" s="658">
        <f t="shared" si="12"/>
        <v>100</v>
      </c>
      <c r="T26" s="657" t="s">
        <v>18</v>
      </c>
      <c r="U26" s="658">
        <f t="shared" si="13"/>
        <v>100</v>
      </c>
      <c r="V26" s="657" t="s">
        <v>18</v>
      </c>
      <c r="W26" s="658">
        <f t="shared" si="14"/>
        <v>100</v>
      </c>
      <c r="X26" s="1243"/>
      <c r="Y26" s="3379"/>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386"/>
      <c r="Q27" s="523">
        <f t="shared" si="11"/>
        <v>111</v>
      </c>
      <c r="R27" s="654" t="s">
        <v>18</v>
      </c>
      <c r="S27" s="655">
        <f t="shared" si="12"/>
        <v>100</v>
      </c>
      <c r="T27" s="654" t="s">
        <v>18</v>
      </c>
      <c r="U27" s="655">
        <f t="shared" si="13"/>
        <v>100</v>
      </c>
      <c r="V27" s="654" t="s">
        <v>18</v>
      </c>
      <c r="W27" s="655">
        <f t="shared" si="14"/>
        <v>100</v>
      </c>
      <c r="X27" s="656"/>
      <c r="Y27" s="3379"/>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386"/>
      <c r="Q28" s="1241">
        <f t="shared" si="11"/>
        <v>111</v>
      </c>
      <c r="R28" s="657" t="s">
        <v>18</v>
      </c>
      <c r="S28" s="658">
        <f t="shared" si="12"/>
        <v>100</v>
      </c>
      <c r="T28" s="657" t="s">
        <v>18</v>
      </c>
      <c r="U28" s="658">
        <f t="shared" si="13"/>
        <v>100</v>
      </c>
      <c r="V28" s="657" t="s">
        <v>18</v>
      </c>
      <c r="W28" s="658">
        <f t="shared" si="14"/>
        <v>100</v>
      </c>
      <c r="X28" s="1243"/>
      <c r="Y28" s="3379"/>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386"/>
      <c r="Q29" s="1241">
        <f t="shared" si="11"/>
        <v>111</v>
      </c>
      <c r="R29" s="657" t="s">
        <v>18</v>
      </c>
      <c r="S29" s="658">
        <f t="shared" si="12"/>
        <v>100</v>
      </c>
      <c r="T29" s="657" t="s">
        <v>18</v>
      </c>
      <c r="U29" s="658">
        <f t="shared" si="13"/>
        <v>100</v>
      </c>
      <c r="V29" s="657" t="s">
        <v>18</v>
      </c>
      <c r="W29" s="658">
        <f t="shared" si="14"/>
        <v>100</v>
      </c>
      <c r="X29" s="1243"/>
      <c r="Y29" s="3379"/>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386"/>
      <c r="Q30" s="1241">
        <f t="shared" si="11"/>
        <v>111</v>
      </c>
      <c r="R30" s="657" t="s">
        <v>18</v>
      </c>
      <c r="S30" s="658">
        <f t="shared" si="12"/>
        <v>100</v>
      </c>
      <c r="T30" s="657" t="s">
        <v>18</v>
      </c>
      <c r="U30" s="658">
        <f t="shared" si="13"/>
        <v>100</v>
      </c>
      <c r="V30" s="657" t="s">
        <v>18</v>
      </c>
      <c r="W30" s="658">
        <f t="shared" si="14"/>
        <v>100</v>
      </c>
      <c r="X30" s="1243"/>
      <c r="Y30" s="3379"/>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386"/>
      <c r="Q31" s="1241">
        <f t="shared" si="11"/>
        <v>111</v>
      </c>
      <c r="R31" s="657" t="s">
        <v>18</v>
      </c>
      <c r="S31" s="658">
        <f t="shared" si="12"/>
        <v>100</v>
      </c>
      <c r="T31" s="657" t="s">
        <v>18</v>
      </c>
      <c r="U31" s="658">
        <f t="shared" si="13"/>
        <v>100</v>
      </c>
      <c r="V31" s="657" t="s">
        <v>18</v>
      </c>
      <c r="W31" s="658">
        <f t="shared" si="14"/>
        <v>100</v>
      </c>
      <c r="X31" s="1243"/>
      <c r="Y31" s="3379"/>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380" t="s">
        <v>1696</v>
      </c>
      <c r="Q32" s="1241" t="str">
        <f t="shared" si="11"/>
        <v>建筑类型</v>
      </c>
      <c r="R32" s="657" t="s">
        <v>18</v>
      </c>
      <c r="S32" s="658">
        <f t="shared" si="12"/>
        <v>100</v>
      </c>
      <c r="T32" s="657" t="s">
        <v>18</v>
      </c>
      <c r="U32" s="658">
        <f t="shared" si="13"/>
        <v>100</v>
      </c>
      <c r="V32" s="657" t="s">
        <v>18</v>
      </c>
      <c r="W32" s="658">
        <f t="shared" si="14"/>
        <v>100</v>
      </c>
      <c r="X32" s="1243"/>
      <c r="Y32" s="3383"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381"/>
      <c r="Q33" s="524" t="str">
        <f t="shared" si="11"/>
        <v>项目建筑规模</v>
      </c>
      <c r="R33" s="659" t="s">
        <v>18</v>
      </c>
      <c r="S33" s="660" t="e">
        <f t="shared" si="12"/>
        <v>#N/A</v>
      </c>
      <c r="T33" s="659" t="s">
        <v>18</v>
      </c>
      <c r="U33" s="660" t="e">
        <f t="shared" si="13"/>
        <v>#N/A</v>
      </c>
      <c r="V33" s="659" t="s">
        <v>18</v>
      </c>
      <c r="W33" s="660" t="e">
        <f t="shared" si="14"/>
        <v>#N/A</v>
      </c>
      <c r="X33" s="661"/>
      <c r="Y33" s="3383"/>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381"/>
      <c r="Q34" s="1241" t="str">
        <f t="shared" si="11"/>
        <v>建筑结构</v>
      </c>
      <c r="R34" s="657" t="s">
        <v>18</v>
      </c>
      <c r="S34" s="658">
        <f t="shared" si="12"/>
        <v>100</v>
      </c>
      <c r="T34" s="657" t="s">
        <v>18</v>
      </c>
      <c r="U34" s="658">
        <f t="shared" si="13"/>
        <v>100</v>
      </c>
      <c r="V34" s="657" t="s">
        <v>18</v>
      </c>
      <c r="W34" s="658">
        <f t="shared" si="14"/>
        <v>100</v>
      </c>
      <c r="X34" s="1243"/>
      <c r="Y34" s="3383"/>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381"/>
      <c r="Q35" s="1241" t="str">
        <f t="shared" si="11"/>
        <v>建筑品质</v>
      </c>
      <c r="R35" s="657" t="s">
        <v>18</v>
      </c>
      <c r="S35" s="658">
        <f t="shared" si="12"/>
        <v>100</v>
      </c>
      <c r="T35" s="657" t="s">
        <v>18</v>
      </c>
      <c r="U35" s="658">
        <f t="shared" si="13"/>
        <v>100</v>
      </c>
      <c r="V35" s="657" t="s">
        <v>18</v>
      </c>
      <c r="W35" s="658">
        <f t="shared" si="14"/>
        <v>100</v>
      </c>
      <c r="X35" s="1243"/>
      <c r="Y35" s="3383"/>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381"/>
      <c r="Q36" s="1241" t="str">
        <f t="shared" si="11"/>
        <v>公共部分装修</v>
      </c>
      <c r="R36" s="657" t="s">
        <v>18</v>
      </c>
      <c r="S36" s="658">
        <f t="shared" si="12"/>
        <v>100</v>
      </c>
      <c r="T36" s="657" t="s">
        <v>18</v>
      </c>
      <c r="U36" s="658">
        <f t="shared" si="13"/>
        <v>100</v>
      </c>
      <c r="V36" s="657" t="s">
        <v>18</v>
      </c>
      <c r="W36" s="658">
        <f t="shared" si="14"/>
        <v>100</v>
      </c>
      <c r="X36" s="1243"/>
      <c r="Y36" s="3383"/>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381"/>
      <c r="Q37" s="523" t="str">
        <f t="shared" si="11"/>
        <v>成新度</v>
      </c>
      <c r="R37" s="654" t="s">
        <v>18</v>
      </c>
      <c r="S37" s="655" t="e">
        <f t="shared" si="12"/>
        <v>#N/A</v>
      </c>
      <c r="T37" s="654" t="s">
        <v>18</v>
      </c>
      <c r="U37" s="655" t="e">
        <f t="shared" si="13"/>
        <v>#N/A</v>
      </c>
      <c r="V37" s="654" t="s">
        <v>18</v>
      </c>
      <c r="W37" s="655" t="e">
        <f t="shared" si="14"/>
        <v>#N/A</v>
      </c>
      <c r="X37" s="656"/>
      <c r="Y37" s="3383"/>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381" t="s">
        <v>1696</v>
      </c>
      <c r="Q38" s="1241" t="str">
        <f t="shared" si="11"/>
        <v>物业管理</v>
      </c>
      <c r="R38" s="657" t="s">
        <v>18</v>
      </c>
      <c r="S38" s="658">
        <f t="shared" si="12"/>
        <v>100</v>
      </c>
      <c r="T38" s="657" t="s">
        <v>18</v>
      </c>
      <c r="U38" s="658">
        <f t="shared" si="13"/>
        <v>100</v>
      </c>
      <c r="V38" s="657" t="s">
        <v>18</v>
      </c>
      <c r="W38" s="658">
        <f t="shared" si="14"/>
        <v>100</v>
      </c>
      <c r="X38" s="1243"/>
      <c r="Y38" s="3383"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381"/>
      <c r="Q39" s="1241" t="str">
        <f t="shared" si="11"/>
        <v>市政基础设施</v>
      </c>
      <c r="R39" s="657" t="s">
        <v>18</v>
      </c>
      <c r="S39" s="658">
        <f t="shared" si="12"/>
        <v>100</v>
      </c>
      <c r="T39" s="657" t="s">
        <v>18</v>
      </c>
      <c r="U39" s="658">
        <f t="shared" si="13"/>
        <v>100</v>
      </c>
      <c r="V39" s="657" t="s">
        <v>18</v>
      </c>
      <c r="W39" s="658">
        <f t="shared" si="14"/>
        <v>100</v>
      </c>
      <c r="X39" s="1243"/>
      <c r="Y39" s="3383"/>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381"/>
      <c r="Q40" s="1241" t="str">
        <f t="shared" si="11"/>
        <v>房型</v>
      </c>
      <c r="R40" s="657" t="s">
        <v>18</v>
      </c>
      <c r="S40" s="658">
        <f t="shared" si="12"/>
        <v>100</v>
      </c>
      <c r="T40" s="657" t="s">
        <v>18</v>
      </c>
      <c r="U40" s="658">
        <f t="shared" si="13"/>
        <v>100</v>
      </c>
      <c r="V40" s="657" t="s">
        <v>18</v>
      </c>
      <c r="W40" s="658">
        <f t="shared" si="14"/>
        <v>100</v>
      </c>
      <c r="X40" s="1243"/>
      <c r="Y40" s="3383"/>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381"/>
      <c r="Q41" s="524" t="str">
        <f t="shared" si="11"/>
        <v>单套/主力户型建筑面积</v>
      </c>
      <c r="R41" s="659" t="s">
        <v>18</v>
      </c>
      <c r="S41" s="660">
        <f t="shared" si="12"/>
        <v>100</v>
      </c>
      <c r="T41" s="659" t="s">
        <v>18</v>
      </c>
      <c r="U41" s="660">
        <f t="shared" si="13"/>
        <v>100</v>
      </c>
      <c r="V41" s="659" t="s">
        <v>18</v>
      </c>
      <c r="W41" s="660">
        <f t="shared" si="14"/>
        <v>100</v>
      </c>
      <c r="X41" s="661"/>
      <c r="Y41" s="3383"/>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381"/>
      <c r="Q42" s="1241" t="str">
        <f t="shared" si="11"/>
        <v>内部装修</v>
      </c>
      <c r="R42" s="657" t="s">
        <v>18</v>
      </c>
      <c r="S42" s="658">
        <f t="shared" si="12"/>
        <v>100</v>
      </c>
      <c r="T42" s="657" t="s">
        <v>18</v>
      </c>
      <c r="U42" s="658">
        <f t="shared" si="13"/>
        <v>100</v>
      </c>
      <c r="V42" s="657" t="s">
        <v>18</v>
      </c>
      <c r="W42" s="658">
        <f t="shared" si="14"/>
        <v>100</v>
      </c>
      <c r="X42" s="1243"/>
      <c r="Y42" s="3383"/>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381"/>
      <c r="Q43" s="1241" t="str">
        <f t="shared" si="11"/>
        <v>内部装修维护情况</v>
      </c>
      <c r="R43" s="657" t="s">
        <v>18</v>
      </c>
      <c r="S43" s="658">
        <f t="shared" si="12"/>
        <v>100</v>
      </c>
      <c r="T43" s="657" t="s">
        <v>18</v>
      </c>
      <c r="U43" s="658">
        <f t="shared" si="13"/>
        <v>100</v>
      </c>
      <c r="V43" s="657" t="s">
        <v>18</v>
      </c>
      <c r="W43" s="658">
        <f t="shared" si="14"/>
        <v>100</v>
      </c>
      <c r="X43" s="1243"/>
      <c r="Y43" s="3383"/>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381"/>
      <c r="Q44" s="523">
        <f t="shared" si="11"/>
        <v>111</v>
      </c>
      <c r="R44" s="654" t="s">
        <v>18</v>
      </c>
      <c r="S44" s="655">
        <f t="shared" si="12"/>
        <v>100</v>
      </c>
      <c r="T44" s="654" t="s">
        <v>18</v>
      </c>
      <c r="U44" s="655">
        <f t="shared" si="13"/>
        <v>100</v>
      </c>
      <c r="V44" s="654" t="s">
        <v>18</v>
      </c>
      <c r="W44" s="655">
        <f t="shared" si="14"/>
        <v>100</v>
      </c>
      <c r="X44" s="656"/>
      <c r="Y44" s="3383"/>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381"/>
      <c r="Q45" s="1241">
        <f t="shared" si="11"/>
        <v>111</v>
      </c>
      <c r="R45" s="657" t="s">
        <v>18</v>
      </c>
      <c r="S45" s="658">
        <f t="shared" si="12"/>
        <v>100</v>
      </c>
      <c r="T45" s="657" t="s">
        <v>18</v>
      </c>
      <c r="U45" s="658">
        <f t="shared" si="13"/>
        <v>100</v>
      </c>
      <c r="V45" s="657" t="s">
        <v>18</v>
      </c>
      <c r="W45" s="658">
        <f t="shared" si="14"/>
        <v>100</v>
      </c>
      <c r="X45" s="1243"/>
      <c r="Y45" s="3383"/>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382"/>
      <c r="Q46" s="1241">
        <f t="shared" si="11"/>
        <v>111</v>
      </c>
      <c r="R46" s="657" t="s">
        <v>17</v>
      </c>
      <c r="S46" s="658">
        <f t="shared" si="12"/>
        <v>100</v>
      </c>
      <c r="T46" s="657" t="s">
        <v>17</v>
      </c>
      <c r="U46" s="658">
        <f t="shared" si="13"/>
        <v>100</v>
      </c>
      <c r="V46" s="657" t="s">
        <v>17</v>
      </c>
      <c r="W46" s="658">
        <f t="shared" si="14"/>
        <v>100</v>
      </c>
      <c r="X46" s="1243"/>
      <c r="Y46" s="3384"/>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376" t="str">
        <f>A47</f>
        <v>成交单价（元/平方米）</v>
      </c>
      <c r="Q47" s="3376"/>
      <c r="R47" s="3377">
        <f>E47</f>
        <v>0</v>
      </c>
      <c r="S47" s="3377"/>
      <c r="T47" s="3377">
        <f>G47</f>
        <v>0</v>
      </c>
      <c r="U47" s="3377"/>
      <c r="V47" s="3377">
        <f>I47</f>
        <v>0</v>
      </c>
      <c r="W47" s="3377"/>
      <c r="X47" s="378"/>
      <c r="Y47" s="663"/>
      <c r="Z47" s="378"/>
      <c r="AA47" s="378"/>
      <c r="AB47" s="378"/>
      <c r="AC47" s="378"/>
    </row>
    <row r="48" spans="1:29" ht="15.75" thickBot="1">
      <c r="A48" s="416" t="s">
        <v>1709</v>
      </c>
      <c r="B48" s="417"/>
      <c r="C48" s="1060" t="e">
        <f>R49</f>
        <v>#DIV/0!</v>
      </c>
      <c r="D48" s="2118" t="s">
        <v>2138</v>
      </c>
      <c r="E48" s="1061" t="e">
        <f>R48</f>
        <v>#DIV/0!</v>
      </c>
      <c r="F48" s="2119"/>
      <c r="G48" s="1060" t="e">
        <f>T48</f>
        <v>#DIV/0!</v>
      </c>
      <c r="H48" s="2119"/>
      <c r="I48" s="1061" t="e">
        <f>V48</f>
        <v>#DIV/0!</v>
      </c>
      <c r="J48" s="2119"/>
      <c r="K48" s="2120">
        <f>F48+H48+J48</f>
        <v>0</v>
      </c>
      <c r="L48" s="2469"/>
      <c r="M48" s="2462"/>
      <c r="N48" s="2462"/>
      <c r="O48" s="2462"/>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2025-2</v>
      </c>
      <c r="D58" s="1082">
        <f>EDATE(C58,-1)</f>
        <v>45658</v>
      </c>
      <c r="E58" s="1082">
        <f>EDATE(D58,-1)</f>
        <v>45627</v>
      </c>
      <c r="F58" s="1082">
        <f t="shared" ref="F58:O58" si="19">EDATE(E58,-1)</f>
        <v>45597</v>
      </c>
      <c r="G58" s="1082">
        <f t="shared" si="19"/>
        <v>45566</v>
      </c>
      <c r="H58" s="1082">
        <f t="shared" si="19"/>
        <v>45536</v>
      </c>
      <c r="I58" s="1082">
        <f t="shared" si="19"/>
        <v>45505</v>
      </c>
      <c r="J58" s="1082">
        <f t="shared" si="19"/>
        <v>45474</v>
      </c>
      <c r="K58" s="1082">
        <f t="shared" si="19"/>
        <v>45444</v>
      </c>
      <c r="L58" s="1082">
        <f t="shared" si="19"/>
        <v>45413</v>
      </c>
      <c r="M58" s="1082">
        <f t="shared" si="19"/>
        <v>45383</v>
      </c>
      <c r="N58" s="1082">
        <f t="shared" si="19"/>
        <v>45352</v>
      </c>
      <c r="O58" s="1082">
        <f t="shared" si="19"/>
        <v>45323</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7"/>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6647.2</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401" t="s">
        <v>1771</v>
      </c>
      <c r="S4" s="3402"/>
      <c r="T4" s="3401" t="s">
        <v>1772</v>
      </c>
      <c r="U4" s="3402"/>
      <c r="V4" s="3377" t="s">
        <v>1773</v>
      </c>
      <c r="W4" s="3377"/>
      <c r="X4" s="1243"/>
      <c r="Y4" s="3401" t="s">
        <v>1775</v>
      </c>
      <c r="Z4" s="3402"/>
      <c r="AA4" s="3388" t="s">
        <v>1771</v>
      </c>
      <c r="AB4" s="3377" t="s">
        <v>1772</v>
      </c>
      <c r="AC4" s="3388" t="s">
        <v>1773</v>
      </c>
    </row>
    <row r="5" spans="1:29" ht="15">
      <c r="A5" s="341"/>
      <c r="B5" s="342"/>
      <c r="C5" s="3409" t="s">
        <v>1673</v>
      </c>
      <c r="D5" s="3410"/>
      <c r="E5" s="3416" t="s">
        <v>1674</v>
      </c>
      <c r="F5" s="3417"/>
      <c r="G5" s="3409" t="s">
        <v>1675</v>
      </c>
      <c r="H5" s="3410"/>
      <c r="I5" s="3409" t="s">
        <v>1676</v>
      </c>
      <c r="J5" s="3410"/>
      <c r="K5" s="530"/>
      <c r="L5" s="2461"/>
      <c r="M5" s="2462"/>
      <c r="N5" s="2462"/>
      <c r="O5" s="2462"/>
      <c r="P5" s="3397"/>
      <c r="Q5" s="3398"/>
      <c r="R5" s="3403"/>
      <c r="S5" s="3404"/>
      <c r="T5" s="3403"/>
      <c r="U5" s="3404"/>
      <c r="V5" s="3377"/>
      <c r="W5" s="3377"/>
      <c r="X5" s="1243"/>
      <c r="Y5" s="3403"/>
      <c r="Z5" s="3404"/>
      <c r="AA5" s="3389"/>
      <c r="AB5" s="3377"/>
      <c r="AC5" s="3389"/>
    </row>
    <row r="6" spans="1:29" ht="15.75" thickBot="1">
      <c r="A6" s="343"/>
      <c r="B6" s="344"/>
      <c r="C6" s="3407" t="s">
        <v>1677</v>
      </c>
      <c r="D6" s="3408"/>
      <c r="E6" s="3414" t="s">
        <v>1677</v>
      </c>
      <c r="F6" s="3415"/>
      <c r="G6" s="3407" t="s">
        <v>1677</v>
      </c>
      <c r="H6" s="3408"/>
      <c r="I6" s="3407" t="s">
        <v>1677</v>
      </c>
      <c r="J6" s="3408"/>
      <c r="K6" s="530" t="s">
        <v>1678</v>
      </c>
      <c r="L6" s="2461"/>
      <c r="M6" s="2462"/>
      <c r="N6" s="2462"/>
      <c r="O6" s="2462"/>
      <c r="P6" s="3399"/>
      <c r="Q6" s="3400"/>
      <c r="R6" s="3403"/>
      <c r="S6" s="3404"/>
      <c r="T6" s="3405"/>
      <c r="U6" s="3406"/>
      <c r="V6" s="3377"/>
      <c r="W6" s="3377"/>
      <c r="X6" s="1243"/>
      <c r="Y6" s="3405"/>
      <c r="Z6" s="3406"/>
      <c r="AA6" s="3390"/>
      <c r="AB6" s="3377"/>
      <c r="AC6" s="3390"/>
    </row>
    <row r="7" spans="1:29" s="101" customFormat="1" ht="15.75" thickBot="1">
      <c r="A7" s="345" t="s">
        <v>1679</v>
      </c>
      <c r="B7" s="346"/>
      <c r="C7" s="347">
        <f>'数据-取费表'!B2</f>
        <v>45695</v>
      </c>
      <c r="D7" s="348">
        <v>100</v>
      </c>
      <c r="E7" s="349"/>
      <c r="F7" s="350">
        <f>SUMIF(58:58,YEAR(E7)&amp;"-"&amp;MONTH(E7),59:59)</f>
        <v>0</v>
      </c>
      <c r="G7" s="349"/>
      <c r="H7" s="348">
        <f>SUMIF(58:58,YEAR(G7)&amp;"-"&amp;MONTH(G7),59:59)</f>
        <v>0</v>
      </c>
      <c r="I7" s="349"/>
      <c r="J7" s="348">
        <f>SUMIF(58:58,YEAR(I7)&amp;"-"&amp;MONTH(I7),59:59)</f>
        <v>0</v>
      </c>
      <c r="K7" s="38"/>
      <c r="L7" s="2463"/>
      <c r="M7" s="2416"/>
      <c r="N7" s="2416"/>
      <c r="O7" s="2416"/>
      <c r="P7" s="3411" t="s">
        <v>1680</v>
      </c>
      <c r="Q7" s="3413"/>
      <c r="R7" s="654" t="s">
        <v>14</v>
      </c>
      <c r="S7" s="655">
        <f t="shared" ref="S7:S15" si="0">F7</f>
        <v>0</v>
      </c>
      <c r="T7" s="654" t="s">
        <v>14</v>
      </c>
      <c r="U7" s="655">
        <f t="shared" ref="U7:U15" si="1">H7</f>
        <v>0</v>
      </c>
      <c r="V7" s="654" t="s">
        <v>14</v>
      </c>
      <c r="W7" s="655">
        <f t="shared" ref="W7:W15" si="2">J7</f>
        <v>0</v>
      </c>
      <c r="X7" s="656"/>
      <c r="Y7" s="3411" t="s">
        <v>1680</v>
      </c>
      <c r="Z7" s="3412"/>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411" t="s">
        <v>1683</v>
      </c>
      <c r="Q8" s="3412"/>
      <c r="R8" s="654" t="s">
        <v>14</v>
      </c>
      <c r="S8" s="655">
        <f t="shared" si="0"/>
        <v>100</v>
      </c>
      <c r="T8" s="654" t="s">
        <v>14</v>
      </c>
      <c r="U8" s="655">
        <f t="shared" si="1"/>
        <v>100</v>
      </c>
      <c r="V8" s="654" t="s">
        <v>14</v>
      </c>
      <c r="W8" s="655">
        <f t="shared" si="2"/>
        <v>100</v>
      </c>
      <c r="X8" s="656"/>
      <c r="Y8" s="3411" t="s">
        <v>1683</v>
      </c>
      <c r="Z8" s="3412"/>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87" t="s">
        <v>1686</v>
      </c>
      <c r="Q9" s="523" t="str">
        <f t="shared" ref="Q9:Q15" si="6">B9</f>
        <v>用途</v>
      </c>
      <c r="R9" s="654" t="s">
        <v>14</v>
      </c>
      <c r="S9" s="655">
        <f t="shared" si="0"/>
        <v>100</v>
      </c>
      <c r="T9" s="654" t="s">
        <v>14</v>
      </c>
      <c r="U9" s="655">
        <f t="shared" si="1"/>
        <v>100</v>
      </c>
      <c r="V9" s="654" t="s">
        <v>14</v>
      </c>
      <c r="W9" s="655">
        <f t="shared" si="2"/>
        <v>100</v>
      </c>
      <c r="X9" s="656"/>
      <c r="Y9" s="3232"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38"/>
      <c r="L10" s="2464"/>
      <c r="M10" s="2465"/>
      <c r="N10" s="2465"/>
      <c r="O10" s="2465"/>
      <c r="P10" s="3387"/>
      <c r="Q10" s="523" t="str">
        <f t="shared" si="6"/>
        <v>土地使用年限（年）</v>
      </c>
      <c r="R10" s="654" t="s">
        <v>14</v>
      </c>
      <c r="S10" s="655">
        <f t="shared" si="0"/>
        <v>100</v>
      </c>
      <c r="T10" s="654" t="s">
        <v>14</v>
      </c>
      <c r="U10" s="655">
        <f t="shared" si="1"/>
        <v>100</v>
      </c>
      <c r="V10" s="654" t="s">
        <v>14</v>
      </c>
      <c r="W10" s="655">
        <f t="shared" si="2"/>
        <v>100</v>
      </c>
      <c r="X10" s="656"/>
      <c r="Y10" s="3232"/>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87"/>
      <c r="Q11" s="523" t="str">
        <f t="shared" si="6"/>
        <v>容积率</v>
      </c>
      <c r="R11" s="654" t="s">
        <v>14</v>
      </c>
      <c r="S11" s="655" t="e">
        <f t="shared" si="0"/>
        <v>#N/A</v>
      </c>
      <c r="T11" s="654" t="s">
        <v>14</v>
      </c>
      <c r="U11" s="655" t="e">
        <f t="shared" si="1"/>
        <v>#N/A</v>
      </c>
      <c r="V11" s="654" t="s">
        <v>14</v>
      </c>
      <c r="W11" s="655" t="e">
        <f t="shared" si="2"/>
        <v>#N/A</v>
      </c>
      <c r="X11" s="656"/>
      <c r="Y11" s="3232"/>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87"/>
      <c r="Q12" s="523">
        <f t="shared" si="6"/>
        <v>111</v>
      </c>
      <c r="R12" s="654" t="s">
        <v>14</v>
      </c>
      <c r="S12" s="655">
        <f t="shared" si="0"/>
        <v>100</v>
      </c>
      <c r="T12" s="654" t="s">
        <v>14</v>
      </c>
      <c r="U12" s="655">
        <f t="shared" si="1"/>
        <v>100</v>
      </c>
      <c r="V12" s="654" t="s">
        <v>14</v>
      </c>
      <c r="W12" s="655">
        <f t="shared" si="2"/>
        <v>100</v>
      </c>
      <c r="X12" s="656"/>
      <c r="Y12" s="3232"/>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87"/>
      <c r="Q13" s="523">
        <f t="shared" si="6"/>
        <v>111</v>
      </c>
      <c r="R13" s="654" t="s">
        <v>14</v>
      </c>
      <c r="S13" s="655">
        <f t="shared" si="0"/>
        <v>100</v>
      </c>
      <c r="T13" s="654" t="s">
        <v>14</v>
      </c>
      <c r="U13" s="655">
        <f t="shared" si="1"/>
        <v>100</v>
      </c>
      <c r="V13" s="654" t="s">
        <v>14</v>
      </c>
      <c r="W13" s="655">
        <f t="shared" si="2"/>
        <v>100</v>
      </c>
      <c r="X13" s="656"/>
      <c r="Y13" s="3232"/>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87"/>
      <c r="Q14" s="523">
        <f t="shared" si="6"/>
        <v>111</v>
      </c>
      <c r="R14" s="654" t="s">
        <v>14</v>
      </c>
      <c r="S14" s="655">
        <f t="shared" si="0"/>
        <v>100</v>
      </c>
      <c r="T14" s="654" t="s">
        <v>14</v>
      </c>
      <c r="U14" s="655">
        <f t="shared" si="1"/>
        <v>100</v>
      </c>
      <c r="V14" s="654" t="s">
        <v>14</v>
      </c>
      <c r="W14" s="655">
        <f t="shared" si="2"/>
        <v>100</v>
      </c>
      <c r="X14" s="656"/>
      <c r="Y14" s="3232"/>
      <c r="Z14" s="50">
        <f t="shared" si="7"/>
        <v>111</v>
      </c>
      <c r="AA14" s="50">
        <f t="shared" si="3"/>
        <v>1</v>
      </c>
      <c r="AB14" s="50">
        <f t="shared" si="4"/>
        <v>1</v>
      </c>
      <c r="AC14" s="50">
        <f t="shared" si="5"/>
        <v>1</v>
      </c>
    </row>
    <row r="15" spans="1:29" ht="71.25">
      <c r="A15" s="372" t="s">
        <v>1690</v>
      </c>
      <c r="B15" s="58" t="s">
        <v>1777</v>
      </c>
      <c r="C15" s="1727" t="str">
        <f>估价对象房地状况!C4</f>
        <v>估价对象位于XX商圈，周边商业氛围成熟，人流量大，商业繁华度好</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385" t="s">
        <v>1691</v>
      </c>
      <c r="Q15" s="1241" t="str">
        <f t="shared" si="6"/>
        <v>商业繁华度</v>
      </c>
      <c r="R15" s="657" t="s">
        <v>14</v>
      </c>
      <c r="S15" s="658">
        <f t="shared" si="0"/>
        <v>100</v>
      </c>
      <c r="T15" s="657" t="s">
        <v>14</v>
      </c>
      <c r="U15" s="658">
        <f t="shared" si="1"/>
        <v>100</v>
      </c>
      <c r="V15" s="657" t="s">
        <v>14</v>
      </c>
      <c r="W15" s="658">
        <f t="shared" si="2"/>
        <v>100</v>
      </c>
      <c r="X15" s="1243"/>
      <c r="Y15" s="3378"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386"/>
      <c r="Q16" s="1241"/>
      <c r="R16" s="657"/>
      <c r="S16" s="658"/>
      <c r="T16" s="657"/>
      <c r="U16" s="658"/>
      <c r="V16" s="657"/>
      <c r="W16" s="658"/>
      <c r="X16" s="1243"/>
      <c r="Y16" s="3379"/>
      <c r="Z16" s="1242"/>
      <c r="AA16" s="1242">
        <v>1</v>
      </c>
      <c r="AB16" s="1242">
        <v>1</v>
      </c>
      <c r="AC16" s="1242">
        <v>1</v>
      </c>
    </row>
    <row r="17" spans="1:29" ht="85.5">
      <c r="A17" s="360"/>
      <c r="B17" s="383" t="s">
        <v>1259</v>
      </c>
      <c r="C17" s="1731" t="str">
        <f>估价对象房地状况!C6</f>
        <v>估价对象周边道路状况、公共交通通达情况、停车便捷程度，综合评价交通便捷度较好</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386"/>
      <c r="Q17" s="1241" t="str">
        <f>B17</f>
        <v>交通便捷度</v>
      </c>
      <c r="R17" s="657" t="s">
        <v>14</v>
      </c>
      <c r="S17" s="658">
        <f>F17</f>
        <v>100</v>
      </c>
      <c r="T17" s="657" t="s">
        <v>14</v>
      </c>
      <c r="U17" s="658">
        <f>H17</f>
        <v>100</v>
      </c>
      <c r="V17" s="657" t="s">
        <v>14</v>
      </c>
      <c r="W17" s="658">
        <f>J17</f>
        <v>100</v>
      </c>
      <c r="X17" s="1243"/>
      <c r="Y17" s="3379"/>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386"/>
      <c r="Q18" s="1241"/>
      <c r="R18" s="657"/>
      <c r="S18" s="658"/>
      <c r="T18" s="657"/>
      <c r="U18" s="658"/>
      <c r="V18" s="657"/>
      <c r="W18" s="658"/>
      <c r="X18" s="1243"/>
      <c r="Y18" s="3379"/>
      <c r="Z18" s="1242"/>
      <c r="AA18" s="1242">
        <v>1</v>
      </c>
      <c r="AB18" s="1242">
        <v>1</v>
      </c>
      <c r="AC18" s="1242">
        <v>1</v>
      </c>
    </row>
    <row r="19" spans="1:29" ht="42.75">
      <c r="A19" s="360"/>
      <c r="B19" s="383" t="s">
        <v>1778</v>
      </c>
      <c r="C19" s="1731" t="str">
        <f>估价对象房地状况!C7</f>
        <v>估价对象所在区域公共配套设施齐备情况</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386"/>
      <c r="Q19" s="1241" t="str">
        <f>B19</f>
        <v>公共配套设施</v>
      </c>
      <c r="R19" s="657" t="s">
        <v>14</v>
      </c>
      <c r="S19" s="658">
        <f>F19</f>
        <v>100</v>
      </c>
      <c r="T19" s="657" t="s">
        <v>14</v>
      </c>
      <c r="U19" s="658">
        <f>H19</f>
        <v>100</v>
      </c>
      <c r="V19" s="657" t="s">
        <v>14</v>
      </c>
      <c r="W19" s="658">
        <f>J19</f>
        <v>100</v>
      </c>
      <c r="X19" s="1243"/>
      <c r="Y19" s="3379"/>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386"/>
      <c r="Q20" s="1241"/>
      <c r="R20" s="657"/>
      <c r="S20" s="658"/>
      <c r="T20" s="657"/>
      <c r="U20" s="658"/>
      <c r="V20" s="657"/>
      <c r="W20" s="658"/>
      <c r="X20" s="1243"/>
      <c r="Y20" s="3379"/>
      <c r="Z20" s="1242"/>
      <c r="AA20" s="1242">
        <v>1</v>
      </c>
      <c r="AB20" s="1242">
        <v>1</v>
      </c>
      <c r="AC20" s="1242">
        <v>1</v>
      </c>
    </row>
    <row r="21" spans="1:29" ht="28.5">
      <c r="A21" s="360"/>
      <c r="B21" s="579" t="s">
        <v>1779</v>
      </c>
      <c r="C21" s="1731" t="str">
        <f>估价对象房地状况!C8</f>
        <v>估价对象所在区域基础设施水平</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386"/>
      <c r="Q21" s="1241" t="str">
        <f>B21</f>
        <v>基础设施水平</v>
      </c>
      <c r="R21" s="657" t="s">
        <v>14</v>
      </c>
      <c r="S21" s="658">
        <f>F21</f>
        <v>100</v>
      </c>
      <c r="T21" s="657" t="s">
        <v>14</v>
      </c>
      <c r="U21" s="658">
        <f>H21</f>
        <v>100</v>
      </c>
      <c r="V21" s="657" t="s">
        <v>14</v>
      </c>
      <c r="W21" s="658">
        <f>J21</f>
        <v>100</v>
      </c>
      <c r="X21" s="1243"/>
      <c r="Y21" s="3379"/>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386"/>
      <c r="Q22" s="1241"/>
      <c r="R22" s="657"/>
      <c r="S22" s="658"/>
      <c r="T22" s="657"/>
      <c r="U22" s="658"/>
      <c r="V22" s="657"/>
      <c r="W22" s="658"/>
      <c r="X22" s="1243"/>
      <c r="Y22" s="3379"/>
      <c r="Z22" s="1242"/>
      <c r="AA22" s="1242">
        <v>1</v>
      </c>
      <c r="AB22" s="1242">
        <v>1</v>
      </c>
      <c r="AC22" s="1242">
        <v>1</v>
      </c>
    </row>
    <row r="23" spans="1:29" ht="57">
      <c r="A23" s="360"/>
      <c r="B23" s="383" t="s">
        <v>1261</v>
      </c>
      <c r="C23" s="1783" t="str">
        <f>估价对象房地状况!C9</f>
        <v>区域自然环境：；人文环境；综合评价环境状况一般</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386"/>
      <c r="Q23" s="1241" t="str">
        <f>B23</f>
        <v>自然及人文环境</v>
      </c>
      <c r="R23" s="657" t="s">
        <v>14</v>
      </c>
      <c r="S23" s="658">
        <f>F23</f>
        <v>100</v>
      </c>
      <c r="T23" s="657" t="s">
        <v>14</v>
      </c>
      <c r="U23" s="658">
        <f>H23</f>
        <v>100</v>
      </c>
      <c r="V23" s="657" t="s">
        <v>14</v>
      </c>
      <c r="W23" s="658">
        <f>J23</f>
        <v>100</v>
      </c>
      <c r="X23" s="1243"/>
      <c r="Y23" s="3379"/>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386"/>
      <c r="Q24" s="1241"/>
      <c r="R24" s="657"/>
      <c r="S24" s="658"/>
      <c r="T24" s="657"/>
      <c r="U24" s="658"/>
      <c r="V24" s="657"/>
      <c r="W24" s="658"/>
      <c r="X24" s="1243"/>
      <c r="Y24" s="3379"/>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386"/>
      <c r="Q25" s="1241" t="str">
        <f t="shared" ref="Q25:Q46" si="11">B25</f>
        <v>临街状况</v>
      </c>
      <c r="R25" s="657" t="s">
        <v>14</v>
      </c>
      <c r="S25" s="658">
        <f>F25</f>
        <v>100</v>
      </c>
      <c r="T25" s="657" t="s">
        <v>14</v>
      </c>
      <c r="U25" s="658">
        <f>H25</f>
        <v>100</v>
      </c>
      <c r="V25" s="657" t="s">
        <v>14</v>
      </c>
      <c r="W25" s="658">
        <f>J25</f>
        <v>100</v>
      </c>
      <c r="X25" s="1243"/>
      <c r="Y25" s="3379"/>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386"/>
      <c r="Q26" s="1241" t="str">
        <f t="shared" si="11"/>
        <v>平面位置/可视性</v>
      </c>
      <c r="R26" s="657" t="s">
        <v>14</v>
      </c>
      <c r="S26" s="658">
        <f>F26</f>
        <v>100</v>
      </c>
      <c r="T26" s="657" t="s">
        <v>14</v>
      </c>
      <c r="U26" s="658">
        <f>H26</f>
        <v>100</v>
      </c>
      <c r="V26" s="657" t="s">
        <v>14</v>
      </c>
      <c r="W26" s="658">
        <f>J26</f>
        <v>100</v>
      </c>
      <c r="X26" s="1243"/>
      <c r="Y26" s="3379"/>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386"/>
      <c r="Q27" s="523" t="str">
        <f t="shared" si="11"/>
        <v>人流量</v>
      </c>
      <c r="R27" s="654" t="s">
        <v>14</v>
      </c>
      <c r="S27" s="655">
        <f>F27</f>
        <v>100</v>
      </c>
      <c r="T27" s="654" t="s">
        <v>14</v>
      </c>
      <c r="U27" s="655">
        <f>H27</f>
        <v>100</v>
      </c>
      <c r="V27" s="654" t="s">
        <v>14</v>
      </c>
      <c r="W27" s="655">
        <f>J27</f>
        <v>100</v>
      </c>
      <c r="X27" s="656"/>
      <c r="Y27" s="3379"/>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386"/>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79"/>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386"/>
      <c r="Q29" s="1241">
        <f t="shared" si="11"/>
        <v>111</v>
      </c>
      <c r="R29" s="657" t="s">
        <v>14</v>
      </c>
      <c r="S29" s="658">
        <f t="shared" si="12"/>
        <v>100</v>
      </c>
      <c r="T29" s="657" t="s">
        <v>14</v>
      </c>
      <c r="U29" s="658">
        <f t="shared" si="13"/>
        <v>100</v>
      </c>
      <c r="V29" s="657" t="s">
        <v>14</v>
      </c>
      <c r="W29" s="658">
        <f t="shared" si="14"/>
        <v>100</v>
      </c>
      <c r="X29" s="1243"/>
      <c r="Y29" s="3379"/>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386"/>
      <c r="Q30" s="1241">
        <f t="shared" si="11"/>
        <v>111</v>
      </c>
      <c r="R30" s="657" t="s">
        <v>14</v>
      </c>
      <c r="S30" s="658">
        <f t="shared" si="12"/>
        <v>100</v>
      </c>
      <c r="T30" s="657" t="s">
        <v>14</v>
      </c>
      <c r="U30" s="658">
        <f t="shared" si="13"/>
        <v>100</v>
      </c>
      <c r="V30" s="657" t="s">
        <v>14</v>
      </c>
      <c r="W30" s="658">
        <f t="shared" si="14"/>
        <v>100</v>
      </c>
      <c r="X30" s="1243"/>
      <c r="Y30" s="3379"/>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386"/>
      <c r="Q31" s="1241">
        <f t="shared" si="11"/>
        <v>111</v>
      </c>
      <c r="R31" s="657" t="s">
        <v>14</v>
      </c>
      <c r="S31" s="658">
        <f t="shared" si="12"/>
        <v>100</v>
      </c>
      <c r="T31" s="657" t="s">
        <v>14</v>
      </c>
      <c r="U31" s="658">
        <f t="shared" si="13"/>
        <v>100</v>
      </c>
      <c r="V31" s="657" t="s">
        <v>14</v>
      </c>
      <c r="W31" s="658">
        <f t="shared" si="14"/>
        <v>100</v>
      </c>
      <c r="X31" s="1243"/>
      <c r="Y31" s="3379"/>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380" t="s">
        <v>1696</v>
      </c>
      <c r="Q32" s="1241" t="str">
        <f t="shared" si="11"/>
        <v>商业类型</v>
      </c>
      <c r="R32" s="657" t="s">
        <v>14</v>
      </c>
      <c r="S32" s="658">
        <f t="shared" si="12"/>
        <v>100</v>
      </c>
      <c r="T32" s="657" t="s">
        <v>14</v>
      </c>
      <c r="U32" s="658">
        <f t="shared" si="13"/>
        <v>100</v>
      </c>
      <c r="V32" s="657" t="s">
        <v>14</v>
      </c>
      <c r="W32" s="658">
        <f t="shared" si="14"/>
        <v>100</v>
      </c>
      <c r="X32" s="1243"/>
      <c r="Y32" s="3383"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381"/>
      <c r="Q33" s="524" t="str">
        <f t="shared" si="11"/>
        <v>项目建筑规模</v>
      </c>
      <c r="R33" s="659" t="s">
        <v>14</v>
      </c>
      <c r="S33" s="660" t="e">
        <f t="shared" si="12"/>
        <v>#N/A</v>
      </c>
      <c r="T33" s="659" t="s">
        <v>14</v>
      </c>
      <c r="U33" s="660" t="e">
        <f t="shared" si="13"/>
        <v>#N/A</v>
      </c>
      <c r="V33" s="659" t="s">
        <v>14</v>
      </c>
      <c r="W33" s="660" t="e">
        <f t="shared" si="14"/>
        <v>#N/A</v>
      </c>
      <c r="X33" s="661"/>
      <c r="Y33" s="3383"/>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381"/>
      <c r="Q34" s="1241" t="str">
        <f t="shared" si="11"/>
        <v>建筑结构</v>
      </c>
      <c r="R34" s="657" t="s">
        <v>14</v>
      </c>
      <c r="S34" s="658">
        <f t="shared" si="12"/>
        <v>100</v>
      </c>
      <c r="T34" s="657" t="s">
        <v>14</v>
      </c>
      <c r="U34" s="658">
        <f t="shared" si="13"/>
        <v>100</v>
      </c>
      <c r="V34" s="657" t="s">
        <v>14</v>
      </c>
      <c r="W34" s="658">
        <f t="shared" si="14"/>
        <v>100</v>
      </c>
      <c r="X34" s="1243"/>
      <c r="Y34" s="3383"/>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381"/>
      <c r="Q35" s="1241" t="str">
        <f t="shared" si="11"/>
        <v>公共部分装修</v>
      </c>
      <c r="R35" s="657" t="s">
        <v>14</v>
      </c>
      <c r="S35" s="658">
        <f t="shared" si="12"/>
        <v>100</v>
      </c>
      <c r="T35" s="657" t="s">
        <v>14</v>
      </c>
      <c r="U35" s="658">
        <f t="shared" si="13"/>
        <v>100</v>
      </c>
      <c r="V35" s="657" t="s">
        <v>14</v>
      </c>
      <c r="W35" s="658">
        <f t="shared" si="14"/>
        <v>100</v>
      </c>
      <c r="X35" s="1243"/>
      <c r="Y35" s="3383"/>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381"/>
      <c r="Q36" s="1241" t="str">
        <f t="shared" si="11"/>
        <v>成新度</v>
      </c>
      <c r="R36" s="657" t="s">
        <v>14</v>
      </c>
      <c r="S36" s="658" t="e">
        <f t="shared" si="12"/>
        <v>#N/A</v>
      </c>
      <c r="T36" s="657" t="s">
        <v>14</v>
      </c>
      <c r="U36" s="658" t="e">
        <f t="shared" si="13"/>
        <v>#N/A</v>
      </c>
      <c r="V36" s="657" t="s">
        <v>14</v>
      </c>
      <c r="W36" s="658" t="e">
        <f t="shared" si="14"/>
        <v>#N/A</v>
      </c>
      <c r="X36" s="1243"/>
      <c r="Y36" s="3383"/>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381"/>
      <c r="Q37" s="523" t="str">
        <f t="shared" si="11"/>
        <v>市政基础设施</v>
      </c>
      <c r="R37" s="654" t="s">
        <v>14</v>
      </c>
      <c r="S37" s="655">
        <f t="shared" si="12"/>
        <v>100</v>
      </c>
      <c r="T37" s="654" t="s">
        <v>14</v>
      </c>
      <c r="U37" s="655">
        <f t="shared" si="13"/>
        <v>100</v>
      </c>
      <c r="V37" s="654" t="s">
        <v>14</v>
      </c>
      <c r="W37" s="655">
        <f t="shared" si="14"/>
        <v>100</v>
      </c>
      <c r="X37" s="656"/>
      <c r="Y37" s="3383"/>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381" t="s">
        <v>1696</v>
      </c>
      <c r="Q38" s="1241" t="str">
        <f t="shared" si="11"/>
        <v>业态</v>
      </c>
      <c r="R38" s="657" t="s">
        <v>14</v>
      </c>
      <c r="S38" s="658">
        <f t="shared" si="12"/>
        <v>100</v>
      </c>
      <c r="T38" s="657" t="s">
        <v>14</v>
      </c>
      <c r="U38" s="658">
        <f t="shared" si="13"/>
        <v>100</v>
      </c>
      <c r="V38" s="657" t="s">
        <v>14</v>
      </c>
      <c r="W38" s="658">
        <f t="shared" si="14"/>
        <v>100</v>
      </c>
      <c r="X38" s="1243"/>
      <c r="Y38" s="3383"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381"/>
      <c r="Q39" s="1241" t="str">
        <f t="shared" si="11"/>
        <v>层高</v>
      </c>
      <c r="R39" s="657" t="s">
        <v>14</v>
      </c>
      <c r="S39" s="658">
        <f t="shared" si="12"/>
        <v>100</v>
      </c>
      <c r="T39" s="657" t="s">
        <v>14</v>
      </c>
      <c r="U39" s="658">
        <f t="shared" si="13"/>
        <v>100</v>
      </c>
      <c r="V39" s="657" t="s">
        <v>14</v>
      </c>
      <c r="W39" s="658">
        <f t="shared" si="14"/>
        <v>100</v>
      </c>
      <c r="X39" s="1243"/>
      <c r="Y39" s="3383"/>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381"/>
      <c r="Q40" s="1241" t="str">
        <f t="shared" si="11"/>
        <v>单套建筑面积</v>
      </c>
      <c r="R40" s="657" t="s">
        <v>14</v>
      </c>
      <c r="S40" s="658">
        <f t="shared" si="12"/>
        <v>100</v>
      </c>
      <c r="T40" s="657" t="s">
        <v>14</v>
      </c>
      <c r="U40" s="658">
        <f t="shared" si="13"/>
        <v>100</v>
      </c>
      <c r="V40" s="657" t="s">
        <v>14</v>
      </c>
      <c r="W40" s="658">
        <f t="shared" si="14"/>
        <v>100</v>
      </c>
      <c r="X40" s="1243"/>
      <c r="Y40" s="3383"/>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381"/>
      <c r="Q41" s="524" t="str">
        <f t="shared" si="11"/>
        <v>进深比</v>
      </c>
      <c r="R41" s="659" t="s">
        <v>14</v>
      </c>
      <c r="S41" s="660">
        <f t="shared" si="12"/>
        <v>100</v>
      </c>
      <c r="T41" s="659" t="s">
        <v>14</v>
      </c>
      <c r="U41" s="660">
        <f t="shared" si="13"/>
        <v>100</v>
      </c>
      <c r="V41" s="659" t="s">
        <v>14</v>
      </c>
      <c r="W41" s="660">
        <f t="shared" si="14"/>
        <v>100</v>
      </c>
      <c r="X41" s="661"/>
      <c r="Y41" s="3383"/>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381"/>
      <c r="Q42" s="1241" t="str">
        <f t="shared" si="11"/>
        <v>内部装修</v>
      </c>
      <c r="R42" s="657" t="s">
        <v>14</v>
      </c>
      <c r="S42" s="658">
        <f t="shared" si="12"/>
        <v>100</v>
      </c>
      <c r="T42" s="657" t="s">
        <v>14</v>
      </c>
      <c r="U42" s="658">
        <f t="shared" si="13"/>
        <v>100</v>
      </c>
      <c r="V42" s="657" t="s">
        <v>14</v>
      </c>
      <c r="W42" s="658">
        <f t="shared" si="14"/>
        <v>100</v>
      </c>
      <c r="X42" s="1243"/>
      <c r="Y42" s="3383"/>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381"/>
      <c r="Q43" s="1241" t="str">
        <f t="shared" si="11"/>
        <v>内部装修维护情况</v>
      </c>
      <c r="R43" s="657" t="s">
        <v>14</v>
      </c>
      <c r="S43" s="658">
        <f t="shared" si="12"/>
        <v>100</v>
      </c>
      <c r="T43" s="657" t="s">
        <v>14</v>
      </c>
      <c r="U43" s="658">
        <f t="shared" si="13"/>
        <v>100</v>
      </c>
      <c r="V43" s="657" t="s">
        <v>14</v>
      </c>
      <c r="W43" s="658">
        <f t="shared" si="14"/>
        <v>100</v>
      </c>
      <c r="X43" s="1243"/>
      <c r="Y43" s="3383"/>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381"/>
      <c r="Q44" s="523">
        <f t="shared" si="11"/>
        <v>111</v>
      </c>
      <c r="R44" s="654" t="s">
        <v>14</v>
      </c>
      <c r="S44" s="655">
        <f t="shared" si="12"/>
        <v>100</v>
      </c>
      <c r="T44" s="654" t="s">
        <v>14</v>
      </c>
      <c r="U44" s="655">
        <f t="shared" si="13"/>
        <v>100</v>
      </c>
      <c r="V44" s="654" t="s">
        <v>14</v>
      </c>
      <c r="W44" s="655">
        <f t="shared" si="14"/>
        <v>100</v>
      </c>
      <c r="X44" s="656"/>
      <c r="Y44" s="3383"/>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381"/>
      <c r="Q45" s="1241">
        <f t="shared" si="11"/>
        <v>111</v>
      </c>
      <c r="R45" s="657" t="s">
        <v>14</v>
      </c>
      <c r="S45" s="658">
        <f t="shared" si="12"/>
        <v>100</v>
      </c>
      <c r="T45" s="657" t="s">
        <v>14</v>
      </c>
      <c r="U45" s="658">
        <f t="shared" si="13"/>
        <v>100</v>
      </c>
      <c r="V45" s="657" t="s">
        <v>14</v>
      </c>
      <c r="W45" s="658">
        <f t="shared" si="14"/>
        <v>100</v>
      </c>
      <c r="X45" s="1243"/>
      <c r="Y45" s="3383"/>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382"/>
      <c r="Q46" s="1241">
        <f t="shared" si="11"/>
        <v>111</v>
      </c>
      <c r="R46" s="657" t="s">
        <v>14</v>
      </c>
      <c r="S46" s="658">
        <f t="shared" si="12"/>
        <v>100</v>
      </c>
      <c r="T46" s="657" t="s">
        <v>14</v>
      </c>
      <c r="U46" s="658">
        <f t="shared" si="13"/>
        <v>100</v>
      </c>
      <c r="V46" s="657" t="s">
        <v>14</v>
      </c>
      <c r="W46" s="658">
        <f t="shared" si="14"/>
        <v>100</v>
      </c>
      <c r="X46" s="1243"/>
      <c r="Y46" s="3384"/>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376" t="str">
        <f>A47</f>
        <v>成交单价（元/平方米）</v>
      </c>
      <c r="Q47" s="3376"/>
      <c r="R47" s="3377">
        <f>E47</f>
        <v>0</v>
      </c>
      <c r="S47" s="3377"/>
      <c r="T47" s="3377">
        <f>G47</f>
        <v>0</v>
      </c>
      <c r="U47" s="3377"/>
      <c r="V47" s="3377">
        <f>I47</f>
        <v>0</v>
      </c>
      <c r="W47" s="3377"/>
      <c r="X47" s="378"/>
      <c r="Y47" s="663"/>
      <c r="Z47" s="378"/>
      <c r="AA47" s="378"/>
      <c r="AB47" s="378"/>
      <c r="AC47" s="378"/>
    </row>
    <row r="48" spans="1:29" ht="15.75" thickBot="1">
      <c r="A48" s="416" t="s">
        <v>1793</v>
      </c>
      <c r="B48" s="417"/>
      <c r="C48" s="1060" t="e">
        <f>R49</f>
        <v>#DIV/0!</v>
      </c>
      <c r="D48" s="2118" t="s">
        <v>2138</v>
      </c>
      <c r="E48" s="1061" t="e">
        <f>R48</f>
        <v>#DIV/0!</v>
      </c>
      <c r="F48" s="2119"/>
      <c r="G48" s="1060" t="e">
        <f>T48</f>
        <v>#DIV/0!</v>
      </c>
      <c r="H48" s="2119"/>
      <c r="I48" s="1061" t="e">
        <f>V48</f>
        <v>#DIV/0!</v>
      </c>
      <c r="J48" s="2119"/>
      <c r="K48" s="2121">
        <f>F48+H48+J48</f>
        <v>0</v>
      </c>
      <c r="L48" s="2469"/>
      <c r="M48" s="2462"/>
      <c r="N48" s="2462"/>
      <c r="O48" s="2462"/>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2025-2</v>
      </c>
      <c r="D58" s="1082">
        <f>EDATE(C58,-1)</f>
        <v>45658</v>
      </c>
      <c r="E58" s="1082">
        <f t="shared" ref="E58:N58" si="16">EDATE(D58,-1)</f>
        <v>45627</v>
      </c>
      <c r="F58" s="1082">
        <f t="shared" si="16"/>
        <v>45597</v>
      </c>
      <c r="G58" s="1082">
        <f t="shared" si="16"/>
        <v>45566</v>
      </c>
      <c r="H58" s="1082">
        <f t="shared" si="16"/>
        <v>45536</v>
      </c>
      <c r="I58" s="1082">
        <f t="shared" si="16"/>
        <v>45505</v>
      </c>
      <c r="J58" s="1082">
        <f t="shared" si="16"/>
        <v>45474</v>
      </c>
      <c r="K58" s="1082">
        <f t="shared" si="16"/>
        <v>45444</v>
      </c>
      <c r="L58" s="1082">
        <f t="shared" si="16"/>
        <v>45413</v>
      </c>
      <c r="M58" s="1082">
        <f t="shared" si="16"/>
        <v>45383</v>
      </c>
      <c r="N58" s="1082">
        <f t="shared" si="16"/>
        <v>45352</v>
      </c>
      <c r="O58" s="1082">
        <f>EDATE(N58,-1)</f>
        <v>45323</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估价对象为北京市房地产，为所有。根据《国有土地使用证》[]，估价对象（分摊）出让国有建设用地使用权面积为6544.93平方米，建筑面积为6647.2平方米。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估价对象为北京市房地产,为开发建设的，该项目尚在开发建设中。根据《国有土地使用证》[]，估价对象（分摊）出让国有建设用地使用权面积为6544.93平方米，规划建筑面积为6647.2平方米。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2025年2月7日（评估专业人员实地查勘之日）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6647.2</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424" t="s">
        <v>1775</v>
      </c>
      <c r="Q4" s="3425"/>
      <c r="R4" s="3428" t="s">
        <v>1771</v>
      </c>
      <c r="S4" s="3429"/>
      <c r="T4" s="3428" t="s">
        <v>1772</v>
      </c>
      <c r="U4" s="3429"/>
      <c r="V4" s="3430" t="s">
        <v>1773</v>
      </c>
      <c r="W4" s="3430"/>
      <c r="X4" s="1786"/>
      <c r="Y4" s="3428" t="s">
        <v>1775</v>
      </c>
      <c r="Z4" s="3429"/>
      <c r="AA4" s="3432" t="s">
        <v>1771</v>
      </c>
      <c r="AB4" s="3432" t="s">
        <v>1772</v>
      </c>
      <c r="AC4" s="3421" t="s">
        <v>1773</v>
      </c>
    </row>
    <row r="5" spans="1:29" ht="15">
      <c r="A5" s="341"/>
      <c r="B5" s="342"/>
      <c r="C5" s="3409" t="s">
        <v>1673</v>
      </c>
      <c r="D5" s="3410"/>
      <c r="E5" s="3416" t="s">
        <v>1674</v>
      </c>
      <c r="F5" s="3417"/>
      <c r="G5" s="3409" t="s">
        <v>1675</v>
      </c>
      <c r="H5" s="3410"/>
      <c r="I5" s="3409" t="s">
        <v>1676</v>
      </c>
      <c r="J5" s="3410"/>
      <c r="K5" s="530"/>
      <c r="L5" s="2461"/>
      <c r="M5" s="2462"/>
      <c r="N5" s="2462"/>
      <c r="O5" s="2462"/>
      <c r="P5" s="3426"/>
      <c r="Q5" s="3398"/>
      <c r="R5" s="3403"/>
      <c r="S5" s="3404"/>
      <c r="T5" s="3403"/>
      <c r="U5" s="3404"/>
      <c r="V5" s="3377"/>
      <c r="W5" s="3377"/>
      <c r="X5" s="1243"/>
      <c r="Y5" s="3403"/>
      <c r="Z5" s="3404"/>
      <c r="AA5" s="3389"/>
      <c r="AB5" s="3389"/>
      <c r="AC5" s="3422"/>
    </row>
    <row r="6" spans="1:29" ht="15.75" thickBot="1">
      <c r="A6" s="343"/>
      <c r="B6" s="344"/>
      <c r="C6" s="3407" t="s">
        <v>1677</v>
      </c>
      <c r="D6" s="3408"/>
      <c r="E6" s="3414" t="s">
        <v>1677</v>
      </c>
      <c r="F6" s="3415"/>
      <c r="G6" s="3407" t="s">
        <v>1677</v>
      </c>
      <c r="H6" s="3408"/>
      <c r="I6" s="3407" t="s">
        <v>1677</v>
      </c>
      <c r="J6" s="3408"/>
      <c r="K6" s="530" t="s">
        <v>1678</v>
      </c>
      <c r="L6" s="2461"/>
      <c r="M6" s="2462"/>
      <c r="N6" s="2462"/>
      <c r="O6" s="2462"/>
      <c r="P6" s="3427"/>
      <c r="Q6" s="3400"/>
      <c r="R6" s="3403"/>
      <c r="S6" s="3404"/>
      <c r="T6" s="3405"/>
      <c r="U6" s="3406"/>
      <c r="V6" s="3377"/>
      <c r="W6" s="3377"/>
      <c r="X6" s="1243"/>
      <c r="Y6" s="3405"/>
      <c r="Z6" s="3406"/>
      <c r="AA6" s="3390"/>
      <c r="AB6" s="3390"/>
      <c r="AC6" s="3423"/>
    </row>
    <row r="7" spans="1:29" s="101" customFormat="1" ht="15.75" thickBot="1">
      <c r="A7" s="345" t="s">
        <v>1679</v>
      </c>
      <c r="B7" s="346"/>
      <c r="C7" s="347">
        <f>'数据-取费表'!B2</f>
        <v>45695</v>
      </c>
      <c r="D7" s="348">
        <v>100</v>
      </c>
      <c r="E7" s="349"/>
      <c r="F7" s="350">
        <f>SUMIF(59:59,YEAR(E7)&amp;"-"&amp;MONTH(E7),60:60)</f>
        <v>0</v>
      </c>
      <c r="G7" s="349"/>
      <c r="H7" s="348">
        <f>SUMIF(59:59,YEAR(G7)&amp;"-"&amp;MONTH(G7),60:60)</f>
        <v>0</v>
      </c>
      <c r="I7" s="349"/>
      <c r="J7" s="348">
        <f>SUMIF(59:59,YEAR(I7)&amp;"-"&amp;MONTH(I7),60:60)</f>
        <v>0</v>
      </c>
      <c r="K7" s="38"/>
      <c r="L7" s="2463"/>
      <c r="M7" s="2416"/>
      <c r="N7" s="2416"/>
      <c r="O7" s="2416"/>
      <c r="P7" s="3431" t="s">
        <v>1680</v>
      </c>
      <c r="Q7" s="3413"/>
      <c r="R7" s="654" t="s">
        <v>14</v>
      </c>
      <c r="S7" s="655">
        <f t="shared" ref="S7:S15" si="0">F7</f>
        <v>0</v>
      </c>
      <c r="T7" s="654" t="s">
        <v>14</v>
      </c>
      <c r="U7" s="655">
        <f t="shared" ref="U7:U15" si="1">H7</f>
        <v>0</v>
      </c>
      <c r="V7" s="654" t="s">
        <v>14</v>
      </c>
      <c r="W7" s="655">
        <f t="shared" ref="W7:W15" si="2">J7</f>
        <v>0</v>
      </c>
      <c r="X7" s="656"/>
      <c r="Y7" s="3411" t="s">
        <v>1680</v>
      </c>
      <c r="Z7" s="3412"/>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31" t="s">
        <v>1683</v>
      </c>
      <c r="Q8" s="3412"/>
      <c r="R8" s="654" t="s">
        <v>14</v>
      </c>
      <c r="S8" s="655">
        <f t="shared" si="0"/>
        <v>100</v>
      </c>
      <c r="T8" s="654" t="s">
        <v>14</v>
      </c>
      <c r="U8" s="655">
        <f t="shared" si="1"/>
        <v>100</v>
      </c>
      <c r="V8" s="654" t="s">
        <v>14</v>
      </c>
      <c r="W8" s="655">
        <f t="shared" si="2"/>
        <v>100</v>
      </c>
      <c r="X8" s="656"/>
      <c r="Y8" s="3411" t="s">
        <v>1683</v>
      </c>
      <c r="Z8" s="3412"/>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87" t="s">
        <v>1686</v>
      </c>
      <c r="Q9" s="523" t="str">
        <f t="shared" ref="Q9:Q15" si="6">B9</f>
        <v>用途</v>
      </c>
      <c r="R9" s="654" t="s">
        <v>14</v>
      </c>
      <c r="S9" s="655">
        <f t="shared" si="0"/>
        <v>100</v>
      </c>
      <c r="T9" s="654" t="s">
        <v>14</v>
      </c>
      <c r="U9" s="655">
        <f t="shared" si="1"/>
        <v>100</v>
      </c>
      <c r="V9" s="654" t="s">
        <v>14</v>
      </c>
      <c r="W9" s="655">
        <f t="shared" si="2"/>
        <v>100</v>
      </c>
      <c r="X9" s="656"/>
      <c r="Y9" s="3232" t="s">
        <v>1687</v>
      </c>
      <c r="Z9" s="50" t="str">
        <f t="shared" ref="Z9:Z15" si="7">Q9</f>
        <v>用途</v>
      </c>
      <c r="AA9" s="50">
        <f t="shared" si="3"/>
        <v>1</v>
      </c>
      <c r="AB9" s="50">
        <f t="shared" si="4"/>
        <v>1</v>
      </c>
      <c r="AC9" s="784">
        <f t="shared" si="5"/>
        <v>1</v>
      </c>
    </row>
    <row r="10" spans="1:29" s="359" customFormat="1" ht="27">
      <c r="A10" s="356"/>
      <c r="B10" s="357" t="s">
        <v>1688</v>
      </c>
      <c r="C10" s="3104"/>
      <c r="D10" s="113">
        <v>100</v>
      </c>
      <c r="E10" s="3104"/>
      <c r="F10" s="113">
        <f>SUMIF(66:66,E10,67:67)-SUMIF(66:66,C10,67:67)+100</f>
        <v>100</v>
      </c>
      <c r="G10" s="3105"/>
      <c r="H10" s="113">
        <f>SUMIF(66:66,G10,67:67)-SUMIF(66:66,C10,67:67)+100</f>
        <v>100</v>
      </c>
      <c r="I10" s="3104"/>
      <c r="J10" s="113">
        <f>SUMIF(66:66,I10,67:67)-SUMIF(66:66,C10,67:67)+100</f>
        <v>100</v>
      </c>
      <c r="K10" s="38"/>
      <c r="L10" s="2464"/>
      <c r="M10" s="2465"/>
      <c r="N10" s="2465"/>
      <c r="O10" s="2465"/>
      <c r="P10" s="3387"/>
      <c r="Q10" s="523" t="str">
        <f t="shared" si="6"/>
        <v>土地使用年限（年）</v>
      </c>
      <c r="R10" s="654" t="s">
        <v>14</v>
      </c>
      <c r="S10" s="655">
        <f t="shared" si="0"/>
        <v>100</v>
      </c>
      <c r="T10" s="654" t="s">
        <v>14</v>
      </c>
      <c r="U10" s="655">
        <f t="shared" si="1"/>
        <v>100</v>
      </c>
      <c r="V10" s="654" t="s">
        <v>14</v>
      </c>
      <c r="W10" s="655">
        <f t="shared" si="2"/>
        <v>100</v>
      </c>
      <c r="X10" s="656"/>
      <c r="Y10" s="3232"/>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87"/>
      <c r="Q11" s="523" t="str">
        <f t="shared" si="6"/>
        <v>容积率</v>
      </c>
      <c r="R11" s="654" t="s">
        <v>14</v>
      </c>
      <c r="S11" s="655">
        <f t="shared" si="0"/>
        <v>100</v>
      </c>
      <c r="T11" s="654" t="s">
        <v>14</v>
      </c>
      <c r="U11" s="655">
        <f t="shared" si="1"/>
        <v>100</v>
      </c>
      <c r="V11" s="654" t="s">
        <v>14</v>
      </c>
      <c r="W11" s="655">
        <f t="shared" si="2"/>
        <v>100</v>
      </c>
      <c r="X11" s="656"/>
      <c r="Y11" s="3232"/>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87"/>
      <c r="Q12" s="523">
        <f t="shared" si="6"/>
        <v>111</v>
      </c>
      <c r="R12" s="654" t="s">
        <v>14</v>
      </c>
      <c r="S12" s="655">
        <f t="shared" si="0"/>
        <v>100</v>
      </c>
      <c r="T12" s="654" t="s">
        <v>14</v>
      </c>
      <c r="U12" s="655">
        <f t="shared" si="1"/>
        <v>100</v>
      </c>
      <c r="V12" s="654" t="s">
        <v>14</v>
      </c>
      <c r="W12" s="655">
        <f t="shared" si="2"/>
        <v>100</v>
      </c>
      <c r="X12" s="656"/>
      <c r="Y12" s="3232"/>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87"/>
      <c r="Q13" s="523">
        <f t="shared" si="6"/>
        <v>111</v>
      </c>
      <c r="R13" s="654" t="s">
        <v>14</v>
      </c>
      <c r="S13" s="655">
        <f t="shared" si="0"/>
        <v>100</v>
      </c>
      <c r="T13" s="654" t="s">
        <v>14</v>
      </c>
      <c r="U13" s="655">
        <f t="shared" si="1"/>
        <v>100</v>
      </c>
      <c r="V13" s="654" t="s">
        <v>14</v>
      </c>
      <c r="W13" s="655">
        <f t="shared" si="2"/>
        <v>100</v>
      </c>
      <c r="X13" s="656"/>
      <c r="Y13" s="3232"/>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87"/>
      <c r="Q14" s="523">
        <f t="shared" si="6"/>
        <v>111</v>
      </c>
      <c r="R14" s="654" t="s">
        <v>14</v>
      </c>
      <c r="S14" s="655">
        <f t="shared" si="0"/>
        <v>100</v>
      </c>
      <c r="T14" s="654" t="s">
        <v>14</v>
      </c>
      <c r="U14" s="655">
        <f t="shared" si="1"/>
        <v>100</v>
      </c>
      <c r="V14" s="654" t="s">
        <v>14</v>
      </c>
      <c r="W14" s="655">
        <f t="shared" si="2"/>
        <v>100</v>
      </c>
      <c r="X14" s="656"/>
      <c r="Y14" s="3232"/>
      <c r="Z14" s="50">
        <f t="shared" si="7"/>
        <v>111</v>
      </c>
      <c r="AA14" s="50">
        <f t="shared" si="3"/>
        <v>1</v>
      </c>
      <c r="AB14" s="50">
        <f t="shared" si="4"/>
        <v>1</v>
      </c>
      <c r="AC14" s="784">
        <f t="shared" si="5"/>
        <v>1</v>
      </c>
    </row>
    <row r="15" spans="1:29" ht="71.25">
      <c r="A15" s="372" t="s">
        <v>1690</v>
      </c>
      <c r="B15" s="547" t="s">
        <v>1811</v>
      </c>
      <c r="C15" s="1788" t="str">
        <f>估价对象房地状况!C5</f>
        <v>估价对象位于XX商圈，周边办公楼项目较多，入驻率高，办公集聚程度较好</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385" t="s">
        <v>1691</v>
      </c>
      <c r="Q15" s="1241" t="str">
        <f t="shared" si="6"/>
        <v>办公集聚程度</v>
      </c>
      <c r="R15" s="657" t="s">
        <v>14</v>
      </c>
      <c r="S15" s="658">
        <f t="shared" si="0"/>
        <v>100</v>
      </c>
      <c r="T15" s="657" t="s">
        <v>14</v>
      </c>
      <c r="U15" s="658">
        <f t="shared" si="1"/>
        <v>100</v>
      </c>
      <c r="V15" s="657" t="s">
        <v>14</v>
      </c>
      <c r="W15" s="658">
        <f t="shared" si="2"/>
        <v>100</v>
      </c>
      <c r="X15" s="1243"/>
      <c r="Y15" s="3378"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386"/>
      <c r="Q16" s="1241"/>
      <c r="R16" s="657"/>
      <c r="S16" s="658"/>
      <c r="T16" s="657"/>
      <c r="U16" s="658"/>
      <c r="V16" s="657"/>
      <c r="W16" s="658"/>
      <c r="X16" s="1243"/>
      <c r="Y16" s="3379"/>
      <c r="Z16" s="1242"/>
      <c r="AA16" s="1242">
        <v>1</v>
      </c>
      <c r="AB16" s="1242">
        <v>1</v>
      </c>
      <c r="AC16" s="1789">
        <v>1</v>
      </c>
    </row>
    <row r="17" spans="1:29" ht="71.25">
      <c r="A17" s="360"/>
      <c r="B17" s="549" t="s">
        <v>1259</v>
      </c>
      <c r="C17" s="1790" t="str">
        <f>估价对象房地状况!C6</f>
        <v>估价对象周边道路状况、公共交通通达情况、停车便捷程度，综合评价交通便捷度较好</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386"/>
      <c r="Q17" s="1241" t="str">
        <f>B17</f>
        <v>交通便捷度</v>
      </c>
      <c r="R17" s="657" t="s">
        <v>14</v>
      </c>
      <c r="S17" s="658">
        <f>F17</f>
        <v>100</v>
      </c>
      <c r="T17" s="657" t="s">
        <v>14</v>
      </c>
      <c r="U17" s="658">
        <f>H17</f>
        <v>100</v>
      </c>
      <c r="V17" s="657" t="s">
        <v>14</v>
      </c>
      <c r="W17" s="658">
        <f>J17</f>
        <v>100</v>
      </c>
      <c r="X17" s="1243"/>
      <c r="Y17" s="3379"/>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386"/>
      <c r="Q18" s="1241"/>
      <c r="R18" s="657"/>
      <c r="S18" s="658"/>
      <c r="T18" s="657"/>
      <c r="U18" s="658"/>
      <c r="V18" s="657"/>
      <c r="W18" s="658"/>
      <c r="X18" s="1243"/>
      <c r="Y18" s="3379"/>
      <c r="Z18" s="1242"/>
      <c r="AA18" s="1242">
        <v>1</v>
      </c>
      <c r="AB18" s="1242">
        <v>1</v>
      </c>
      <c r="AC18" s="1789">
        <v>1</v>
      </c>
    </row>
    <row r="19" spans="1:29" ht="42.75">
      <c r="A19" s="360"/>
      <c r="B19" s="549" t="s">
        <v>1812</v>
      </c>
      <c r="C19" s="1790" t="str">
        <f>估价对象房地状况!C7</f>
        <v>估价对象所在区域公共配套设施齐备情况</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386"/>
      <c r="Q19" s="1241" t="str">
        <f>B19</f>
        <v>公共配套设施</v>
      </c>
      <c r="R19" s="657" t="s">
        <v>14</v>
      </c>
      <c r="S19" s="658">
        <f>F19</f>
        <v>100</v>
      </c>
      <c r="T19" s="657" t="s">
        <v>14</v>
      </c>
      <c r="U19" s="658">
        <f>H19</f>
        <v>100</v>
      </c>
      <c r="V19" s="657" t="s">
        <v>14</v>
      </c>
      <c r="W19" s="658">
        <f>J19</f>
        <v>100</v>
      </c>
      <c r="X19" s="1243"/>
      <c r="Y19" s="3379"/>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386"/>
      <c r="Q20" s="1241"/>
      <c r="R20" s="657"/>
      <c r="S20" s="658"/>
      <c r="T20" s="657"/>
      <c r="U20" s="658"/>
      <c r="V20" s="657"/>
      <c r="W20" s="658"/>
      <c r="X20" s="1243"/>
      <c r="Y20" s="3379"/>
      <c r="Z20" s="1242"/>
      <c r="AA20" s="1242">
        <v>1</v>
      </c>
      <c r="AB20" s="1242">
        <v>1</v>
      </c>
      <c r="AC20" s="1789">
        <v>1</v>
      </c>
    </row>
    <row r="21" spans="1:29" ht="28.5">
      <c r="A21" s="360"/>
      <c r="B21" s="550" t="s">
        <v>1813</v>
      </c>
      <c r="C21" s="1790" t="str">
        <f>估价对象房地状况!C8</f>
        <v>估价对象所在区域基础设施水平</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386"/>
      <c r="Q21" s="1241" t="str">
        <f>B21</f>
        <v>基础设施水平</v>
      </c>
      <c r="R21" s="657" t="s">
        <v>14</v>
      </c>
      <c r="S21" s="658">
        <f>F21</f>
        <v>100</v>
      </c>
      <c r="T21" s="657" t="s">
        <v>14</v>
      </c>
      <c r="U21" s="658">
        <f>H21</f>
        <v>100</v>
      </c>
      <c r="V21" s="657" t="s">
        <v>14</v>
      </c>
      <c r="W21" s="658">
        <f>J21</f>
        <v>100</v>
      </c>
      <c r="X21" s="1243"/>
      <c r="Y21" s="3379"/>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386"/>
      <c r="Q22" s="1241"/>
      <c r="R22" s="657"/>
      <c r="S22" s="658"/>
      <c r="T22" s="657"/>
      <c r="U22" s="658"/>
      <c r="V22" s="657"/>
      <c r="W22" s="658"/>
      <c r="X22" s="1243"/>
      <c r="Y22" s="3379"/>
      <c r="Z22" s="1242"/>
      <c r="AA22" s="1242">
        <v>1</v>
      </c>
      <c r="AB22" s="1242">
        <v>1</v>
      </c>
      <c r="AC22" s="1789">
        <v>1</v>
      </c>
    </row>
    <row r="23" spans="1:29" ht="42.75">
      <c r="A23" s="360"/>
      <c r="B23" s="549" t="s">
        <v>1814</v>
      </c>
      <c r="C23" s="1790" t="str">
        <f>估价对象房地状况!C9</f>
        <v>区域自然环境：；人文环境；综合评价环境状况一般</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386"/>
      <c r="Q23" s="1241" t="str">
        <f>B23</f>
        <v>环境质量</v>
      </c>
      <c r="R23" s="657" t="s">
        <v>14</v>
      </c>
      <c r="S23" s="658">
        <f>F23</f>
        <v>100</v>
      </c>
      <c r="T23" s="657" t="s">
        <v>14</v>
      </c>
      <c r="U23" s="658">
        <f>H23</f>
        <v>100</v>
      </c>
      <c r="V23" s="657" t="s">
        <v>14</v>
      </c>
      <c r="W23" s="658">
        <f>J23</f>
        <v>100</v>
      </c>
      <c r="X23" s="1243"/>
      <c r="Y23" s="3379"/>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386"/>
      <c r="Q24" s="1241"/>
      <c r="R24" s="657"/>
      <c r="S24" s="658"/>
      <c r="T24" s="657"/>
      <c r="U24" s="658"/>
      <c r="V24" s="657"/>
      <c r="W24" s="658"/>
      <c r="X24" s="1243"/>
      <c r="Y24" s="3379"/>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386"/>
      <c r="Q25" s="1241" t="str">
        <f>B25</f>
        <v>毗邻道路的类型与等级</v>
      </c>
      <c r="R25" s="657" t="s">
        <v>14</v>
      </c>
      <c r="S25" s="658">
        <f>F25</f>
        <v>100</v>
      </c>
      <c r="T25" s="657" t="s">
        <v>14</v>
      </c>
      <c r="U25" s="658">
        <f>H25</f>
        <v>100</v>
      </c>
      <c r="V25" s="657" t="s">
        <v>14</v>
      </c>
      <c r="W25" s="658">
        <f>J25</f>
        <v>100</v>
      </c>
      <c r="X25" s="1243"/>
      <c r="Y25" s="3379"/>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386"/>
      <c r="Q26" s="1241"/>
      <c r="R26" s="657"/>
      <c r="S26" s="658"/>
      <c r="T26" s="657"/>
      <c r="U26" s="658"/>
      <c r="V26" s="657"/>
      <c r="W26" s="658"/>
      <c r="X26" s="1243"/>
      <c r="Y26" s="3379"/>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386"/>
      <c r="Q27" s="1241" t="str">
        <f t="shared" ref="Q27:Q47" si="11">B27</f>
        <v>楼层</v>
      </c>
      <c r="R27" s="657" t="s">
        <v>14</v>
      </c>
      <c r="S27" s="658">
        <f>F27</f>
        <v>100</v>
      </c>
      <c r="T27" s="657" t="s">
        <v>14</v>
      </c>
      <c r="U27" s="658">
        <f>H27</f>
        <v>100</v>
      </c>
      <c r="V27" s="657" t="s">
        <v>14</v>
      </c>
      <c r="W27" s="658">
        <f>J27</f>
        <v>100</v>
      </c>
      <c r="X27" s="1243"/>
      <c r="Y27" s="3379"/>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386"/>
      <c r="Q28" s="523" t="str">
        <f t="shared" si="11"/>
        <v>朝向</v>
      </c>
      <c r="R28" s="654" t="s">
        <v>14</v>
      </c>
      <c r="S28" s="655">
        <f>F28</f>
        <v>100</v>
      </c>
      <c r="T28" s="654" t="s">
        <v>14</v>
      </c>
      <c r="U28" s="655">
        <f>H28</f>
        <v>100</v>
      </c>
      <c r="V28" s="654" t="s">
        <v>14</v>
      </c>
      <c r="W28" s="655">
        <f>J28</f>
        <v>100</v>
      </c>
      <c r="X28" s="656"/>
      <c r="Y28" s="3379"/>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386"/>
      <c r="Q29" s="1241">
        <f t="shared" si="11"/>
        <v>111</v>
      </c>
      <c r="R29" s="657" t="s">
        <v>14</v>
      </c>
      <c r="S29" s="658">
        <f t="shared" ref="S29:S47" si="12">F29</f>
        <v>100</v>
      </c>
      <c r="T29" s="657" t="s">
        <v>14</v>
      </c>
      <c r="U29" s="658">
        <f t="shared" ref="U29:U47" si="13">H29</f>
        <v>100</v>
      </c>
      <c r="V29" s="657" t="s">
        <v>14</v>
      </c>
      <c r="W29" s="658">
        <f t="shared" ref="W29:W47" si="14">J29</f>
        <v>100</v>
      </c>
      <c r="X29" s="1243"/>
      <c r="Y29" s="3379"/>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386"/>
      <c r="Q30" s="1241">
        <f t="shared" si="11"/>
        <v>111</v>
      </c>
      <c r="R30" s="657" t="s">
        <v>14</v>
      </c>
      <c r="S30" s="658">
        <f t="shared" si="12"/>
        <v>100</v>
      </c>
      <c r="T30" s="657" t="s">
        <v>14</v>
      </c>
      <c r="U30" s="658">
        <f t="shared" si="13"/>
        <v>100</v>
      </c>
      <c r="V30" s="657" t="s">
        <v>14</v>
      </c>
      <c r="W30" s="658">
        <f t="shared" si="14"/>
        <v>100</v>
      </c>
      <c r="X30" s="1243"/>
      <c r="Y30" s="3379"/>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386"/>
      <c r="Q31" s="1241">
        <f t="shared" si="11"/>
        <v>111</v>
      </c>
      <c r="R31" s="657" t="s">
        <v>14</v>
      </c>
      <c r="S31" s="658">
        <f t="shared" si="12"/>
        <v>100</v>
      </c>
      <c r="T31" s="657" t="s">
        <v>14</v>
      </c>
      <c r="U31" s="658">
        <f t="shared" si="13"/>
        <v>100</v>
      </c>
      <c r="V31" s="657" t="s">
        <v>14</v>
      </c>
      <c r="W31" s="658">
        <f t="shared" si="14"/>
        <v>100</v>
      </c>
      <c r="X31" s="1243"/>
      <c r="Y31" s="3379"/>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386"/>
      <c r="Q32" s="1241">
        <f t="shared" si="11"/>
        <v>111</v>
      </c>
      <c r="R32" s="657" t="s">
        <v>14</v>
      </c>
      <c r="S32" s="658">
        <f t="shared" si="12"/>
        <v>100</v>
      </c>
      <c r="T32" s="657" t="s">
        <v>14</v>
      </c>
      <c r="U32" s="658">
        <f t="shared" si="13"/>
        <v>100</v>
      </c>
      <c r="V32" s="657" t="s">
        <v>14</v>
      </c>
      <c r="W32" s="658">
        <f t="shared" si="14"/>
        <v>100</v>
      </c>
      <c r="X32" s="1243"/>
      <c r="Y32" s="3379"/>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380" t="s">
        <v>1696</v>
      </c>
      <c r="Q33" s="1241" t="str">
        <f t="shared" si="11"/>
        <v>建筑类型</v>
      </c>
      <c r="R33" s="657" t="s">
        <v>14</v>
      </c>
      <c r="S33" s="658">
        <f t="shared" si="12"/>
        <v>100</v>
      </c>
      <c r="T33" s="657" t="s">
        <v>14</v>
      </c>
      <c r="U33" s="658">
        <f t="shared" si="13"/>
        <v>100</v>
      </c>
      <c r="V33" s="657" t="s">
        <v>14</v>
      </c>
      <c r="W33" s="658">
        <f t="shared" si="14"/>
        <v>100</v>
      </c>
      <c r="X33" s="1243"/>
      <c r="Y33" s="3383"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381"/>
      <c r="Q34" s="524" t="str">
        <f t="shared" si="11"/>
        <v>项目建筑规模</v>
      </c>
      <c r="R34" s="659" t="s">
        <v>14</v>
      </c>
      <c r="S34" s="660" t="e">
        <f t="shared" si="12"/>
        <v>#N/A</v>
      </c>
      <c r="T34" s="659" t="s">
        <v>14</v>
      </c>
      <c r="U34" s="660" t="e">
        <f t="shared" si="13"/>
        <v>#N/A</v>
      </c>
      <c r="V34" s="659" t="s">
        <v>14</v>
      </c>
      <c r="W34" s="660" t="e">
        <f t="shared" si="14"/>
        <v>#N/A</v>
      </c>
      <c r="X34" s="661"/>
      <c r="Y34" s="3383"/>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381"/>
      <c r="Q35" s="1241" t="str">
        <f t="shared" si="11"/>
        <v>建筑结构</v>
      </c>
      <c r="R35" s="657" t="s">
        <v>14</v>
      </c>
      <c r="S35" s="658">
        <f t="shared" si="12"/>
        <v>100</v>
      </c>
      <c r="T35" s="657" t="s">
        <v>14</v>
      </c>
      <c r="U35" s="658">
        <f t="shared" si="13"/>
        <v>100</v>
      </c>
      <c r="V35" s="657" t="s">
        <v>14</v>
      </c>
      <c r="W35" s="658">
        <f t="shared" si="14"/>
        <v>100</v>
      </c>
      <c r="X35" s="1243"/>
      <c r="Y35" s="3383"/>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381"/>
      <c r="Q36" s="1241" t="str">
        <f t="shared" si="11"/>
        <v>公共部分装修</v>
      </c>
      <c r="R36" s="657" t="s">
        <v>14</v>
      </c>
      <c r="S36" s="658">
        <f t="shared" si="12"/>
        <v>100</v>
      </c>
      <c r="T36" s="657" t="s">
        <v>14</v>
      </c>
      <c r="U36" s="658">
        <f t="shared" si="13"/>
        <v>100</v>
      </c>
      <c r="V36" s="657" t="s">
        <v>14</v>
      </c>
      <c r="W36" s="658">
        <f t="shared" si="14"/>
        <v>100</v>
      </c>
      <c r="X36" s="1243"/>
      <c r="Y36" s="3383"/>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381"/>
      <c r="Q37" s="1241" t="str">
        <f t="shared" si="11"/>
        <v>成新度</v>
      </c>
      <c r="R37" s="657" t="s">
        <v>14</v>
      </c>
      <c r="S37" s="658" t="e">
        <f t="shared" si="12"/>
        <v>#N/A</v>
      </c>
      <c r="T37" s="657" t="s">
        <v>14</v>
      </c>
      <c r="U37" s="658" t="e">
        <f t="shared" si="13"/>
        <v>#N/A</v>
      </c>
      <c r="V37" s="657" t="s">
        <v>14</v>
      </c>
      <c r="W37" s="658" t="e">
        <f t="shared" si="14"/>
        <v>#N/A</v>
      </c>
      <c r="X37" s="1243"/>
      <c r="Y37" s="3383"/>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381"/>
      <c r="Q38" s="523" t="str">
        <f t="shared" si="11"/>
        <v>写字楼等级</v>
      </c>
      <c r="R38" s="654" t="s">
        <v>14</v>
      </c>
      <c r="S38" s="655">
        <f t="shared" si="12"/>
        <v>100</v>
      </c>
      <c r="T38" s="654" t="s">
        <v>14</v>
      </c>
      <c r="U38" s="655">
        <f t="shared" si="13"/>
        <v>100</v>
      </c>
      <c r="V38" s="654" t="s">
        <v>14</v>
      </c>
      <c r="W38" s="655">
        <f t="shared" si="14"/>
        <v>100</v>
      </c>
      <c r="X38" s="656"/>
      <c r="Y38" s="3383"/>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381" t="s">
        <v>1696</v>
      </c>
      <c r="Q39" s="1241" t="str">
        <f t="shared" si="11"/>
        <v>物业管理</v>
      </c>
      <c r="R39" s="657" t="s">
        <v>14</v>
      </c>
      <c r="S39" s="658">
        <f t="shared" si="12"/>
        <v>100</v>
      </c>
      <c r="T39" s="657" t="s">
        <v>14</v>
      </c>
      <c r="U39" s="658">
        <f t="shared" si="13"/>
        <v>100</v>
      </c>
      <c r="V39" s="657" t="s">
        <v>14</v>
      </c>
      <c r="W39" s="658">
        <f t="shared" si="14"/>
        <v>100</v>
      </c>
      <c r="X39" s="1243"/>
      <c r="Y39" s="3383"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381"/>
      <c r="Q40" s="1241" t="str">
        <f t="shared" si="11"/>
        <v>市政基础设施</v>
      </c>
      <c r="R40" s="657" t="s">
        <v>14</v>
      </c>
      <c r="S40" s="658">
        <f t="shared" si="12"/>
        <v>100</v>
      </c>
      <c r="T40" s="657" t="s">
        <v>14</v>
      </c>
      <c r="U40" s="658">
        <f t="shared" si="13"/>
        <v>100</v>
      </c>
      <c r="V40" s="657" t="s">
        <v>14</v>
      </c>
      <c r="W40" s="658">
        <f t="shared" si="14"/>
        <v>100</v>
      </c>
      <c r="X40" s="1243"/>
      <c r="Y40" s="3383"/>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381"/>
      <c r="Q41" s="1241" t="str">
        <f t="shared" si="11"/>
        <v>层高</v>
      </c>
      <c r="R41" s="657" t="s">
        <v>14</v>
      </c>
      <c r="S41" s="658">
        <f t="shared" si="12"/>
        <v>100</v>
      </c>
      <c r="T41" s="657" t="s">
        <v>14</v>
      </c>
      <c r="U41" s="658">
        <f t="shared" si="13"/>
        <v>100</v>
      </c>
      <c r="V41" s="657" t="s">
        <v>14</v>
      </c>
      <c r="W41" s="658">
        <f t="shared" si="14"/>
        <v>100</v>
      </c>
      <c r="X41" s="1243"/>
      <c r="Y41" s="3383"/>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381"/>
      <c r="Q42" s="524" t="str">
        <f t="shared" si="11"/>
        <v>单套建筑面积</v>
      </c>
      <c r="R42" s="659" t="s">
        <v>14</v>
      </c>
      <c r="S42" s="660">
        <f t="shared" si="12"/>
        <v>100</v>
      </c>
      <c r="T42" s="659" t="s">
        <v>14</v>
      </c>
      <c r="U42" s="660">
        <f t="shared" si="13"/>
        <v>100</v>
      </c>
      <c r="V42" s="659" t="s">
        <v>14</v>
      </c>
      <c r="W42" s="660">
        <f t="shared" si="14"/>
        <v>100</v>
      </c>
      <c r="X42" s="661"/>
      <c r="Y42" s="3383"/>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381"/>
      <c r="Q43" s="1241" t="str">
        <f t="shared" si="11"/>
        <v>内部装修</v>
      </c>
      <c r="R43" s="657" t="s">
        <v>14</v>
      </c>
      <c r="S43" s="658">
        <f t="shared" si="12"/>
        <v>100</v>
      </c>
      <c r="T43" s="657" t="s">
        <v>14</v>
      </c>
      <c r="U43" s="658">
        <f t="shared" si="13"/>
        <v>100</v>
      </c>
      <c r="V43" s="657" t="s">
        <v>14</v>
      </c>
      <c r="W43" s="658">
        <f t="shared" si="14"/>
        <v>100</v>
      </c>
      <c r="X43" s="1243"/>
      <c r="Y43" s="3383"/>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381"/>
      <c r="Q44" s="1241" t="str">
        <f t="shared" si="11"/>
        <v>内部装修维护情况</v>
      </c>
      <c r="R44" s="657" t="s">
        <v>14</v>
      </c>
      <c r="S44" s="658">
        <f t="shared" si="12"/>
        <v>100</v>
      </c>
      <c r="T44" s="657" t="s">
        <v>14</v>
      </c>
      <c r="U44" s="658">
        <f t="shared" si="13"/>
        <v>100</v>
      </c>
      <c r="V44" s="657" t="s">
        <v>14</v>
      </c>
      <c r="W44" s="658">
        <f t="shared" si="14"/>
        <v>100</v>
      </c>
      <c r="X44" s="1243"/>
      <c r="Y44" s="3383"/>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381"/>
      <c r="Q45" s="523">
        <f t="shared" si="11"/>
        <v>111</v>
      </c>
      <c r="R45" s="654" t="s">
        <v>14</v>
      </c>
      <c r="S45" s="655">
        <f t="shared" si="12"/>
        <v>100</v>
      </c>
      <c r="T45" s="654" t="s">
        <v>14</v>
      </c>
      <c r="U45" s="655">
        <f t="shared" si="13"/>
        <v>100</v>
      </c>
      <c r="V45" s="654" t="s">
        <v>14</v>
      </c>
      <c r="W45" s="655">
        <f t="shared" si="14"/>
        <v>100</v>
      </c>
      <c r="X45" s="656"/>
      <c r="Y45" s="3383"/>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381"/>
      <c r="Q46" s="1241">
        <f t="shared" si="11"/>
        <v>111</v>
      </c>
      <c r="R46" s="657" t="s">
        <v>14</v>
      </c>
      <c r="S46" s="658">
        <f t="shared" si="12"/>
        <v>100</v>
      </c>
      <c r="T46" s="657" t="s">
        <v>14</v>
      </c>
      <c r="U46" s="658">
        <f t="shared" si="13"/>
        <v>100</v>
      </c>
      <c r="V46" s="657" t="s">
        <v>14</v>
      </c>
      <c r="W46" s="658">
        <f t="shared" si="14"/>
        <v>100</v>
      </c>
      <c r="X46" s="1243"/>
      <c r="Y46" s="3383"/>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382"/>
      <c r="Q47" s="1241">
        <f t="shared" si="11"/>
        <v>111</v>
      </c>
      <c r="R47" s="657" t="s">
        <v>14</v>
      </c>
      <c r="S47" s="658">
        <f t="shared" si="12"/>
        <v>100</v>
      </c>
      <c r="T47" s="657" t="s">
        <v>14</v>
      </c>
      <c r="U47" s="658">
        <f t="shared" si="13"/>
        <v>100</v>
      </c>
      <c r="V47" s="657" t="s">
        <v>14</v>
      </c>
      <c r="W47" s="658">
        <f t="shared" si="14"/>
        <v>100</v>
      </c>
      <c r="X47" s="1243"/>
      <c r="Y47" s="3384"/>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87" t="str">
        <f>A48</f>
        <v>成交单价（元/平方米）</v>
      </c>
      <c r="Q48" s="3376"/>
      <c r="R48" s="3377">
        <f>E48</f>
        <v>0</v>
      </c>
      <c r="S48" s="3377"/>
      <c r="T48" s="3377">
        <f>G48</f>
        <v>0</v>
      </c>
      <c r="U48" s="3377"/>
      <c r="V48" s="3377">
        <f>I48</f>
        <v>0</v>
      </c>
      <c r="W48" s="3377"/>
      <c r="X48" s="378"/>
      <c r="Y48" s="663"/>
      <c r="Z48" s="378"/>
      <c r="AA48" s="378"/>
      <c r="AB48" s="378"/>
      <c r="AC48" s="548"/>
    </row>
    <row r="49" spans="1:29" ht="15.75" thickBot="1">
      <c r="A49" s="416" t="s">
        <v>1793</v>
      </c>
      <c r="B49" s="417"/>
      <c r="C49" s="1060" t="e">
        <f>R50</f>
        <v>#DIV/0!</v>
      </c>
      <c r="D49" s="2118" t="s">
        <v>2138</v>
      </c>
      <c r="E49" s="1061" t="e">
        <f>R49</f>
        <v>#DIV/0!</v>
      </c>
      <c r="F49" s="2119"/>
      <c r="G49" s="1060" t="e">
        <f>T49</f>
        <v>#DIV/0!</v>
      </c>
      <c r="H49" s="2119"/>
      <c r="I49" s="1061" t="e">
        <f>V49</f>
        <v>#DIV/0!</v>
      </c>
      <c r="J49" s="2119"/>
      <c r="K49" s="2121">
        <f>F49+H49+J49</f>
        <v>0</v>
      </c>
      <c r="L49" s="2469"/>
      <c r="M49" s="2462"/>
      <c r="N49" s="2462"/>
      <c r="O49" s="2462"/>
      <c r="P49" s="3387"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2025-2</v>
      </c>
      <c r="D59" s="1082">
        <f>EDATE(C59,-1)</f>
        <v>45658</v>
      </c>
      <c r="E59" s="1082">
        <f>EDATE(D59,-1)</f>
        <v>45627</v>
      </c>
      <c r="F59" s="1082">
        <f t="shared" ref="F59:O59" si="16">EDATE(E59,-1)</f>
        <v>45597</v>
      </c>
      <c r="G59" s="1082">
        <f t="shared" si="16"/>
        <v>45566</v>
      </c>
      <c r="H59" s="1082">
        <f t="shared" si="16"/>
        <v>45536</v>
      </c>
      <c r="I59" s="1082">
        <f t="shared" si="16"/>
        <v>45505</v>
      </c>
      <c r="J59" s="1082">
        <f t="shared" si="16"/>
        <v>45474</v>
      </c>
      <c r="K59" s="1082">
        <f t="shared" si="16"/>
        <v>45444</v>
      </c>
      <c r="L59" s="1082">
        <f t="shared" si="16"/>
        <v>45413</v>
      </c>
      <c r="M59" s="1082">
        <f t="shared" si="16"/>
        <v>45383</v>
      </c>
      <c r="N59" s="1082">
        <f t="shared" si="16"/>
        <v>45352</v>
      </c>
      <c r="O59" s="1082">
        <f t="shared" si="16"/>
        <v>45323</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6647.2</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840"/>
      <c r="M4" s="841"/>
      <c r="N4" s="841"/>
      <c r="O4" s="841"/>
      <c r="P4" s="3395" t="s">
        <v>1775</v>
      </c>
      <c r="Q4" s="3396"/>
      <c r="R4" s="3401" t="s">
        <v>1771</v>
      </c>
      <c r="S4" s="3402"/>
      <c r="T4" s="3401" t="s">
        <v>1772</v>
      </c>
      <c r="U4" s="3402"/>
      <c r="V4" s="3377" t="s">
        <v>1773</v>
      </c>
      <c r="W4" s="3377"/>
      <c r="X4" s="1243"/>
      <c r="Y4" s="3401" t="s">
        <v>1775</v>
      </c>
      <c r="Z4" s="3402"/>
      <c r="AA4" s="3388" t="s">
        <v>1771</v>
      </c>
      <c r="AB4" s="3389" t="s">
        <v>1772</v>
      </c>
      <c r="AC4" s="3388" t="s">
        <v>1773</v>
      </c>
    </row>
    <row r="5" spans="1:29" ht="15">
      <c r="A5" s="341"/>
      <c r="B5" s="342"/>
      <c r="C5" s="3409" t="s">
        <v>1673</v>
      </c>
      <c r="D5" s="3410"/>
      <c r="E5" s="3416" t="s">
        <v>1674</v>
      </c>
      <c r="F5" s="3417"/>
      <c r="G5" s="3409" t="s">
        <v>1675</v>
      </c>
      <c r="H5" s="3410"/>
      <c r="I5" s="3409" t="s">
        <v>1676</v>
      </c>
      <c r="J5" s="3410"/>
      <c r="K5" s="530"/>
      <c r="L5" s="840"/>
      <c r="M5" s="841"/>
      <c r="N5" s="841"/>
      <c r="O5" s="841"/>
      <c r="P5" s="3397"/>
      <c r="Q5" s="3398"/>
      <c r="R5" s="3403"/>
      <c r="S5" s="3404"/>
      <c r="T5" s="3403"/>
      <c r="U5" s="3404"/>
      <c r="V5" s="3377"/>
      <c r="W5" s="3377"/>
      <c r="X5" s="1243"/>
      <c r="Y5" s="3403"/>
      <c r="Z5" s="3404"/>
      <c r="AA5" s="3389"/>
      <c r="AB5" s="3389"/>
      <c r="AC5" s="3389"/>
    </row>
    <row r="6" spans="1:29" ht="15.75" thickBot="1">
      <c r="A6" s="343"/>
      <c r="B6" s="344"/>
      <c r="C6" s="3407" t="s">
        <v>1677</v>
      </c>
      <c r="D6" s="3408"/>
      <c r="E6" s="3414" t="s">
        <v>1677</v>
      </c>
      <c r="F6" s="3415"/>
      <c r="G6" s="3407" t="s">
        <v>1677</v>
      </c>
      <c r="H6" s="3408"/>
      <c r="I6" s="3407" t="s">
        <v>1677</v>
      </c>
      <c r="J6" s="3408"/>
      <c r="K6" s="530" t="s">
        <v>1678</v>
      </c>
      <c r="L6" s="840"/>
      <c r="M6" s="841"/>
      <c r="N6" s="841"/>
      <c r="O6" s="841"/>
      <c r="P6" s="3399"/>
      <c r="Q6" s="3400"/>
      <c r="R6" s="3403"/>
      <c r="S6" s="3404"/>
      <c r="T6" s="3405"/>
      <c r="U6" s="3406"/>
      <c r="V6" s="3377"/>
      <c r="W6" s="3377"/>
      <c r="X6" s="1243"/>
      <c r="Y6" s="3405"/>
      <c r="Z6" s="3406"/>
      <c r="AA6" s="3390"/>
      <c r="AB6" s="3390"/>
      <c r="AC6" s="3390"/>
    </row>
    <row r="7" spans="1:29" s="101" customFormat="1" ht="15.75" thickBot="1">
      <c r="A7" s="345" t="s">
        <v>1679</v>
      </c>
      <c r="B7" s="346"/>
      <c r="C7" s="347">
        <f>'数据-取费表'!B2</f>
        <v>45695</v>
      </c>
      <c r="D7" s="348">
        <v>100</v>
      </c>
      <c r="E7" s="349"/>
      <c r="F7" s="350">
        <f>SUMIF(52:52,YEAR(E7)&amp;"-"&amp;MONTH(E7),53:53)</f>
        <v>0</v>
      </c>
      <c r="G7" s="349"/>
      <c r="H7" s="348">
        <f>SUMIF(52:52,YEAR(G7)&amp;"-"&amp;MONTH(G7),53:53)</f>
        <v>0</v>
      </c>
      <c r="I7" s="349"/>
      <c r="J7" s="348">
        <f>SUMIF(52:52,YEAR(I7)&amp;"-"&amp;MONTH(I7),53:53)</f>
        <v>0</v>
      </c>
      <c r="K7" s="38"/>
      <c r="L7" s="842"/>
      <c r="M7" s="843"/>
      <c r="N7" s="843"/>
      <c r="O7" s="843"/>
      <c r="P7" s="3411" t="s">
        <v>1680</v>
      </c>
      <c r="Q7" s="3413"/>
      <c r="R7" s="654" t="s">
        <v>14</v>
      </c>
      <c r="S7" s="655">
        <f t="shared" ref="S7:S15" si="0">F7</f>
        <v>0</v>
      </c>
      <c r="T7" s="654" t="s">
        <v>14</v>
      </c>
      <c r="U7" s="655">
        <f t="shared" ref="U7:U15" si="1">H7</f>
        <v>0</v>
      </c>
      <c r="V7" s="654" t="s">
        <v>14</v>
      </c>
      <c r="W7" s="655">
        <f t="shared" ref="W7:W15" si="2">J7</f>
        <v>0</v>
      </c>
      <c r="X7" s="656"/>
      <c r="Y7" s="3411" t="s">
        <v>1680</v>
      </c>
      <c r="Z7" s="3412"/>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411" t="s">
        <v>1683</v>
      </c>
      <c r="Q8" s="3412"/>
      <c r="R8" s="654" t="s">
        <v>14</v>
      </c>
      <c r="S8" s="655">
        <f t="shared" si="0"/>
        <v>100</v>
      </c>
      <c r="T8" s="654" t="s">
        <v>14</v>
      </c>
      <c r="U8" s="655">
        <f t="shared" si="1"/>
        <v>100</v>
      </c>
      <c r="V8" s="654" t="s">
        <v>14</v>
      </c>
      <c r="W8" s="655">
        <f t="shared" si="2"/>
        <v>100</v>
      </c>
      <c r="X8" s="656"/>
      <c r="Y8" s="3411" t="s">
        <v>1683</v>
      </c>
      <c r="Z8" s="3412"/>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76" t="s">
        <v>1686</v>
      </c>
      <c r="Q9" s="523" t="str">
        <f t="shared" ref="Q9:Q15" si="6">B9</f>
        <v>用途</v>
      </c>
      <c r="R9" s="654" t="s">
        <v>14</v>
      </c>
      <c r="S9" s="655">
        <f t="shared" si="0"/>
        <v>100</v>
      </c>
      <c r="T9" s="654" t="s">
        <v>14</v>
      </c>
      <c r="U9" s="655">
        <f t="shared" si="1"/>
        <v>100</v>
      </c>
      <c r="V9" s="654" t="s">
        <v>14</v>
      </c>
      <c r="W9" s="655">
        <f t="shared" si="2"/>
        <v>100</v>
      </c>
      <c r="X9" s="656"/>
      <c r="Y9" s="3232"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376"/>
      <c r="Q10" s="523" t="str">
        <f t="shared" si="6"/>
        <v>土地使用年限（年）</v>
      </c>
      <c r="R10" s="654" t="s">
        <v>14</v>
      </c>
      <c r="S10" s="655">
        <f t="shared" si="0"/>
        <v>100</v>
      </c>
      <c r="T10" s="654" t="s">
        <v>14</v>
      </c>
      <c r="U10" s="655">
        <f t="shared" si="1"/>
        <v>100</v>
      </c>
      <c r="V10" s="654" t="s">
        <v>14</v>
      </c>
      <c r="W10" s="655">
        <f t="shared" si="2"/>
        <v>100</v>
      </c>
      <c r="X10" s="656"/>
      <c r="Y10" s="3232"/>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76"/>
      <c r="Q11" s="523" t="str">
        <f t="shared" si="6"/>
        <v>容积率</v>
      </c>
      <c r="R11" s="654" t="s">
        <v>14</v>
      </c>
      <c r="S11" s="655">
        <f t="shared" si="0"/>
        <v>100</v>
      </c>
      <c r="T11" s="654" t="s">
        <v>14</v>
      </c>
      <c r="U11" s="655">
        <f t="shared" si="1"/>
        <v>100</v>
      </c>
      <c r="V11" s="654" t="s">
        <v>14</v>
      </c>
      <c r="W11" s="655">
        <f t="shared" si="2"/>
        <v>100</v>
      </c>
      <c r="X11" s="656"/>
      <c r="Y11" s="3232"/>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76"/>
      <c r="Q12" s="523">
        <f t="shared" si="6"/>
        <v>111</v>
      </c>
      <c r="R12" s="654" t="s">
        <v>14</v>
      </c>
      <c r="S12" s="655">
        <f t="shared" si="0"/>
        <v>100</v>
      </c>
      <c r="T12" s="654" t="s">
        <v>14</v>
      </c>
      <c r="U12" s="655">
        <f t="shared" si="1"/>
        <v>100</v>
      </c>
      <c r="V12" s="654" t="s">
        <v>14</v>
      </c>
      <c r="W12" s="655">
        <f t="shared" si="2"/>
        <v>100</v>
      </c>
      <c r="X12" s="656"/>
      <c r="Y12" s="3232"/>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76"/>
      <c r="Q13" s="523">
        <f t="shared" si="6"/>
        <v>111</v>
      </c>
      <c r="R13" s="654" t="s">
        <v>14</v>
      </c>
      <c r="S13" s="655">
        <f t="shared" si="0"/>
        <v>100</v>
      </c>
      <c r="T13" s="654" t="s">
        <v>14</v>
      </c>
      <c r="U13" s="655">
        <f t="shared" si="1"/>
        <v>100</v>
      </c>
      <c r="V13" s="654" t="s">
        <v>14</v>
      </c>
      <c r="W13" s="655">
        <f t="shared" si="2"/>
        <v>100</v>
      </c>
      <c r="X13" s="656"/>
      <c r="Y13" s="3232"/>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76"/>
      <c r="Q14" s="523">
        <f t="shared" si="6"/>
        <v>111</v>
      </c>
      <c r="R14" s="654" t="s">
        <v>14</v>
      </c>
      <c r="S14" s="655">
        <f t="shared" si="0"/>
        <v>100</v>
      </c>
      <c r="T14" s="654" t="s">
        <v>14</v>
      </c>
      <c r="U14" s="655">
        <f t="shared" si="1"/>
        <v>100</v>
      </c>
      <c r="V14" s="654" t="s">
        <v>14</v>
      </c>
      <c r="W14" s="655">
        <f t="shared" si="2"/>
        <v>100</v>
      </c>
      <c r="X14" s="656"/>
      <c r="Y14" s="3232"/>
      <c r="Z14" s="50">
        <f t="shared" si="7"/>
        <v>111</v>
      </c>
      <c r="AA14" s="50">
        <f t="shared" si="3"/>
        <v>1</v>
      </c>
      <c r="AB14" s="50">
        <f t="shared" si="4"/>
        <v>1</v>
      </c>
      <c r="AC14" s="50">
        <f t="shared" si="5"/>
        <v>1</v>
      </c>
    </row>
    <row r="15" spans="1:29" ht="57">
      <c r="A15" s="372" t="s">
        <v>1690</v>
      </c>
      <c r="B15" s="58" t="s">
        <v>1827</v>
      </c>
      <c r="C15" s="1796" t="str">
        <f>估价对象房地状况!G3</f>
        <v>估价对象位于XX开发区，园区建设成熟度XX，产业集聚程度XX</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78" t="s">
        <v>1691</v>
      </c>
      <c r="Q15" s="1241" t="str">
        <f t="shared" si="6"/>
        <v>产业集聚程度</v>
      </c>
      <c r="R15" s="657" t="s">
        <v>14</v>
      </c>
      <c r="S15" s="658">
        <f t="shared" si="0"/>
        <v>100</v>
      </c>
      <c r="T15" s="657" t="s">
        <v>14</v>
      </c>
      <c r="U15" s="658">
        <f t="shared" si="1"/>
        <v>100</v>
      </c>
      <c r="V15" s="657" t="s">
        <v>14</v>
      </c>
      <c r="W15" s="658">
        <f t="shared" si="2"/>
        <v>100</v>
      </c>
      <c r="X15" s="1243"/>
      <c r="Y15" s="3378"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79"/>
      <c r="Q16" s="1241"/>
      <c r="R16" s="657"/>
      <c r="S16" s="658"/>
      <c r="T16" s="657"/>
      <c r="U16" s="658"/>
      <c r="V16" s="657"/>
      <c r="W16" s="658"/>
      <c r="X16" s="1243"/>
      <c r="Y16" s="3379"/>
      <c r="Z16" s="1242"/>
      <c r="AA16" s="1242">
        <v>1</v>
      </c>
      <c r="AB16" s="1242">
        <v>1</v>
      </c>
      <c r="AC16" s="1242">
        <v>1</v>
      </c>
    </row>
    <row r="17" spans="1:29" ht="85.5">
      <c r="A17" s="360"/>
      <c r="B17" s="383" t="s">
        <v>1259</v>
      </c>
      <c r="C17" s="1731" t="str">
        <f>估价对象房地状况!G4</f>
        <v>估价对象周边道路状况、公共交通通达情况、停车便捷程度，综合评价交通便捷度较好</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79"/>
      <c r="Q17" s="1241" t="str">
        <f>B17</f>
        <v>交通便捷度</v>
      </c>
      <c r="R17" s="657" t="s">
        <v>14</v>
      </c>
      <c r="S17" s="658">
        <f>F17</f>
        <v>100</v>
      </c>
      <c r="T17" s="657" t="s">
        <v>14</v>
      </c>
      <c r="U17" s="658">
        <f>H17</f>
        <v>100</v>
      </c>
      <c r="V17" s="657" t="s">
        <v>14</v>
      </c>
      <c r="W17" s="658">
        <f>J17</f>
        <v>100</v>
      </c>
      <c r="X17" s="1243"/>
      <c r="Y17" s="3379"/>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79"/>
      <c r="Q18" s="1241"/>
      <c r="R18" s="657"/>
      <c r="S18" s="658"/>
      <c r="T18" s="657"/>
      <c r="U18" s="658"/>
      <c r="V18" s="657"/>
      <c r="W18" s="658"/>
      <c r="X18" s="1243"/>
      <c r="Y18" s="3379"/>
      <c r="Z18" s="1242"/>
      <c r="AA18" s="1242">
        <v>1</v>
      </c>
      <c r="AB18" s="1242">
        <v>1</v>
      </c>
      <c r="AC18" s="1242">
        <v>1</v>
      </c>
    </row>
    <row r="19" spans="1:29" ht="42.75">
      <c r="A19" s="360"/>
      <c r="B19" s="383" t="s">
        <v>1812</v>
      </c>
      <c r="C19" s="1731" t="str">
        <f>估价对象房地状况!G5</f>
        <v>估价对象所在区域公共配套设施齐备情况</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79"/>
      <c r="Q19" s="1241" t="str">
        <f>B19</f>
        <v>公共配套设施</v>
      </c>
      <c r="R19" s="657" t="s">
        <v>14</v>
      </c>
      <c r="S19" s="658">
        <f>F19</f>
        <v>100</v>
      </c>
      <c r="T19" s="657" t="s">
        <v>14</v>
      </c>
      <c r="U19" s="658">
        <f>H19</f>
        <v>100</v>
      </c>
      <c r="V19" s="657" t="s">
        <v>14</v>
      </c>
      <c r="W19" s="658">
        <f>J19</f>
        <v>100</v>
      </c>
      <c r="X19" s="1243"/>
      <c r="Y19" s="3379"/>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79"/>
      <c r="Q20" s="1241"/>
      <c r="R20" s="657"/>
      <c r="S20" s="658"/>
      <c r="T20" s="657"/>
      <c r="U20" s="658"/>
      <c r="V20" s="657"/>
      <c r="W20" s="658"/>
      <c r="X20" s="1243"/>
      <c r="Y20" s="3379"/>
      <c r="Z20" s="1242"/>
      <c r="AA20" s="1242">
        <v>1</v>
      </c>
      <c r="AB20" s="1242">
        <v>1</v>
      </c>
      <c r="AC20" s="1242">
        <v>1</v>
      </c>
    </row>
    <row r="21" spans="1:29" ht="28.5">
      <c r="A21" s="360"/>
      <c r="B21" s="579" t="s">
        <v>1813</v>
      </c>
      <c r="C21" s="1731" t="str">
        <f>估价对象房地状况!G6</f>
        <v>估价对象所在区域基础设施水平</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79"/>
      <c r="Q21" s="1241" t="str">
        <f>B21</f>
        <v>基础设施水平</v>
      </c>
      <c r="R21" s="657" t="s">
        <v>14</v>
      </c>
      <c r="S21" s="658">
        <f>F21</f>
        <v>100</v>
      </c>
      <c r="T21" s="657" t="s">
        <v>14</v>
      </c>
      <c r="U21" s="658">
        <f>H21</f>
        <v>100</v>
      </c>
      <c r="V21" s="657" t="s">
        <v>14</v>
      </c>
      <c r="W21" s="658">
        <f>J21</f>
        <v>100</v>
      </c>
      <c r="X21" s="1243"/>
      <c r="Y21" s="3379"/>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79"/>
      <c r="Q22" s="1241"/>
      <c r="R22" s="657"/>
      <c r="S22" s="658"/>
      <c r="T22" s="657"/>
      <c r="U22" s="658"/>
      <c r="V22" s="657"/>
      <c r="W22" s="658"/>
      <c r="X22" s="1243"/>
      <c r="Y22" s="3379"/>
      <c r="Z22" s="1242"/>
      <c r="AA22" s="1242">
        <v>1</v>
      </c>
      <c r="AB22" s="1242">
        <v>1</v>
      </c>
      <c r="AC22" s="1242">
        <v>1</v>
      </c>
    </row>
    <row r="23" spans="1:29" ht="71.25">
      <c r="A23" s="360"/>
      <c r="B23" s="383" t="s">
        <v>1814</v>
      </c>
      <c r="C23" s="1731" t="str">
        <f>估价对象房地状况!G7</f>
        <v>该园区内是否有污染型企业，绿化情况，卫生条件，整体环境状况判断</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79"/>
      <c r="Q23" s="1241" t="str">
        <f>B23</f>
        <v>环境质量</v>
      </c>
      <c r="R23" s="657" t="s">
        <v>14</v>
      </c>
      <c r="S23" s="658">
        <f>F23</f>
        <v>100</v>
      </c>
      <c r="T23" s="657" t="s">
        <v>14</v>
      </c>
      <c r="U23" s="658">
        <f>H23</f>
        <v>100</v>
      </c>
      <c r="V23" s="657" t="s">
        <v>14</v>
      </c>
      <c r="W23" s="658">
        <f>J23</f>
        <v>100</v>
      </c>
      <c r="X23" s="1243"/>
      <c r="Y23" s="3379"/>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79"/>
      <c r="Q24" s="1241"/>
      <c r="R24" s="657"/>
      <c r="S24" s="658"/>
      <c r="T24" s="657"/>
      <c r="U24" s="658"/>
      <c r="V24" s="657"/>
      <c r="W24" s="658"/>
      <c r="X24" s="1243"/>
      <c r="Y24" s="3379"/>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79"/>
      <c r="Q25" s="1241">
        <f>B25</f>
        <v>111</v>
      </c>
      <c r="R25" s="657" t="s">
        <v>14</v>
      </c>
      <c r="S25" s="658">
        <f>F25</f>
        <v>100</v>
      </c>
      <c r="T25" s="657" t="s">
        <v>14</v>
      </c>
      <c r="U25" s="658">
        <f>H25</f>
        <v>100</v>
      </c>
      <c r="V25" s="657" t="s">
        <v>14</v>
      </c>
      <c r="W25" s="658">
        <f>J25</f>
        <v>100</v>
      </c>
      <c r="X25" s="1243"/>
      <c r="Y25" s="3379"/>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79"/>
      <c r="Q26" s="1241">
        <f t="shared" ref="Q26:Q40" si="11">B26</f>
        <v>111</v>
      </c>
      <c r="R26" s="657" t="s">
        <v>14</v>
      </c>
      <c r="S26" s="658">
        <f>F26</f>
        <v>100</v>
      </c>
      <c r="T26" s="657" t="s">
        <v>14</v>
      </c>
      <c r="U26" s="658">
        <f>H26</f>
        <v>100</v>
      </c>
      <c r="V26" s="657" t="s">
        <v>14</v>
      </c>
      <c r="W26" s="658">
        <f>J26</f>
        <v>100</v>
      </c>
      <c r="X26" s="1243"/>
      <c r="Y26" s="3379"/>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79"/>
      <c r="Q27" s="523">
        <f t="shared" si="11"/>
        <v>111</v>
      </c>
      <c r="R27" s="654" t="s">
        <v>14</v>
      </c>
      <c r="S27" s="655">
        <f>F27</f>
        <v>100</v>
      </c>
      <c r="T27" s="654" t="s">
        <v>14</v>
      </c>
      <c r="U27" s="655">
        <f>H27</f>
        <v>100</v>
      </c>
      <c r="V27" s="654" t="s">
        <v>14</v>
      </c>
      <c r="W27" s="655">
        <f>J27</f>
        <v>100</v>
      </c>
      <c r="X27" s="656"/>
      <c r="Y27" s="3379"/>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79"/>
      <c r="Q28" s="1241">
        <f t="shared" si="11"/>
        <v>111</v>
      </c>
      <c r="R28" s="657" t="s">
        <v>14</v>
      </c>
      <c r="S28" s="658">
        <f t="shared" ref="S28:S40" si="12">F28</f>
        <v>100</v>
      </c>
      <c r="T28" s="657" t="s">
        <v>14</v>
      </c>
      <c r="U28" s="658">
        <f t="shared" ref="U28:U40" si="13">H28</f>
        <v>100</v>
      </c>
      <c r="V28" s="657" t="s">
        <v>14</v>
      </c>
      <c r="W28" s="658">
        <f t="shared" ref="W28:W40" si="14">J28</f>
        <v>100</v>
      </c>
      <c r="X28" s="1243"/>
      <c r="Y28" s="3379"/>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33" t="s">
        <v>1696</v>
      </c>
      <c r="Q29" s="1241" t="str">
        <f t="shared" si="11"/>
        <v>建筑类型</v>
      </c>
      <c r="R29" s="657" t="s">
        <v>14</v>
      </c>
      <c r="S29" s="658">
        <f t="shared" si="12"/>
        <v>100</v>
      </c>
      <c r="T29" s="657" t="s">
        <v>14</v>
      </c>
      <c r="U29" s="658">
        <f t="shared" si="13"/>
        <v>100</v>
      </c>
      <c r="V29" s="657" t="s">
        <v>14</v>
      </c>
      <c r="W29" s="658">
        <f t="shared" si="14"/>
        <v>100</v>
      </c>
      <c r="X29" s="1243"/>
      <c r="Y29" s="3383"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83"/>
      <c r="Q30" s="524" t="str">
        <f t="shared" si="11"/>
        <v>项目建筑规模</v>
      </c>
      <c r="R30" s="659" t="s">
        <v>14</v>
      </c>
      <c r="S30" s="660" t="e">
        <f t="shared" si="12"/>
        <v>#N/A</v>
      </c>
      <c r="T30" s="659" t="s">
        <v>14</v>
      </c>
      <c r="U30" s="660" t="e">
        <f t="shared" si="13"/>
        <v>#N/A</v>
      </c>
      <c r="V30" s="659" t="s">
        <v>14</v>
      </c>
      <c r="W30" s="660" t="e">
        <f t="shared" si="14"/>
        <v>#N/A</v>
      </c>
      <c r="X30" s="661"/>
      <c r="Y30" s="3383"/>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83"/>
      <c r="Q31" s="1241" t="str">
        <f t="shared" si="11"/>
        <v>建筑结构</v>
      </c>
      <c r="R31" s="657" t="s">
        <v>14</v>
      </c>
      <c r="S31" s="658">
        <f t="shared" si="12"/>
        <v>100</v>
      </c>
      <c r="T31" s="657" t="s">
        <v>14</v>
      </c>
      <c r="U31" s="658">
        <f t="shared" si="13"/>
        <v>100</v>
      </c>
      <c r="V31" s="657" t="s">
        <v>14</v>
      </c>
      <c r="W31" s="658">
        <f t="shared" si="14"/>
        <v>100</v>
      </c>
      <c r="X31" s="1243"/>
      <c r="Y31" s="3383"/>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83"/>
      <c r="Q32" s="1241" t="str">
        <f t="shared" si="11"/>
        <v>公共部分装修</v>
      </c>
      <c r="R32" s="657" t="s">
        <v>14</v>
      </c>
      <c r="S32" s="658">
        <f t="shared" si="12"/>
        <v>100</v>
      </c>
      <c r="T32" s="657" t="s">
        <v>14</v>
      </c>
      <c r="U32" s="658">
        <f t="shared" si="13"/>
        <v>100</v>
      </c>
      <c r="V32" s="657" t="s">
        <v>14</v>
      </c>
      <c r="W32" s="658">
        <f t="shared" si="14"/>
        <v>100</v>
      </c>
      <c r="X32" s="1243"/>
      <c r="Y32" s="3383"/>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83"/>
      <c r="Q33" s="1241" t="str">
        <f t="shared" si="11"/>
        <v>成新度</v>
      </c>
      <c r="R33" s="657" t="s">
        <v>14</v>
      </c>
      <c r="S33" s="658" t="e">
        <f t="shared" si="12"/>
        <v>#N/A</v>
      </c>
      <c r="T33" s="657" t="s">
        <v>14</v>
      </c>
      <c r="U33" s="658" t="e">
        <f t="shared" si="13"/>
        <v>#N/A</v>
      </c>
      <c r="V33" s="657" t="s">
        <v>14</v>
      </c>
      <c r="W33" s="658" t="e">
        <f t="shared" si="14"/>
        <v>#N/A</v>
      </c>
      <c r="X33" s="1243"/>
      <c r="Y33" s="3383"/>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83"/>
      <c r="Q34" s="523" t="str">
        <f t="shared" si="11"/>
        <v>物业管理</v>
      </c>
      <c r="R34" s="654" t="s">
        <v>14</v>
      </c>
      <c r="S34" s="655">
        <f t="shared" si="12"/>
        <v>100</v>
      </c>
      <c r="T34" s="654" t="s">
        <v>14</v>
      </c>
      <c r="U34" s="655">
        <f t="shared" si="13"/>
        <v>100</v>
      </c>
      <c r="V34" s="654" t="s">
        <v>14</v>
      </c>
      <c r="W34" s="655">
        <f t="shared" si="14"/>
        <v>100</v>
      </c>
      <c r="X34" s="656"/>
      <c r="Y34" s="3383"/>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83" t="s">
        <v>1696</v>
      </c>
      <c r="Q35" s="1241" t="str">
        <f t="shared" si="11"/>
        <v>市政基础设施</v>
      </c>
      <c r="R35" s="657" t="s">
        <v>14</v>
      </c>
      <c r="S35" s="658">
        <f t="shared" si="12"/>
        <v>100</v>
      </c>
      <c r="T35" s="657" t="s">
        <v>14</v>
      </c>
      <c r="U35" s="658">
        <f t="shared" si="13"/>
        <v>100</v>
      </c>
      <c r="V35" s="657" t="s">
        <v>14</v>
      </c>
      <c r="W35" s="658">
        <f t="shared" si="14"/>
        <v>100</v>
      </c>
      <c r="X35" s="1243"/>
      <c r="Y35" s="3383"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83"/>
      <c r="Q36" s="1241" t="str">
        <f t="shared" si="11"/>
        <v>内部装修</v>
      </c>
      <c r="R36" s="657" t="s">
        <v>14</v>
      </c>
      <c r="S36" s="658">
        <f t="shared" si="12"/>
        <v>100</v>
      </c>
      <c r="T36" s="657" t="s">
        <v>14</v>
      </c>
      <c r="U36" s="658">
        <f t="shared" si="13"/>
        <v>100</v>
      </c>
      <c r="V36" s="657" t="s">
        <v>14</v>
      </c>
      <c r="W36" s="658">
        <f t="shared" si="14"/>
        <v>100</v>
      </c>
      <c r="X36" s="1243"/>
      <c r="Y36" s="3383"/>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83"/>
      <c r="Q37" s="1241" t="str">
        <f t="shared" si="11"/>
        <v>内部装修状况</v>
      </c>
      <c r="R37" s="657" t="s">
        <v>14</v>
      </c>
      <c r="S37" s="658">
        <f t="shared" si="12"/>
        <v>100</v>
      </c>
      <c r="T37" s="657" t="s">
        <v>14</v>
      </c>
      <c r="U37" s="658">
        <f t="shared" si="13"/>
        <v>100</v>
      </c>
      <c r="V37" s="657" t="s">
        <v>14</v>
      </c>
      <c r="W37" s="658">
        <f t="shared" si="14"/>
        <v>100</v>
      </c>
      <c r="X37" s="1243"/>
      <c r="Y37" s="3383"/>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83"/>
      <c r="Q38" s="524">
        <f t="shared" si="11"/>
        <v>111</v>
      </c>
      <c r="R38" s="659" t="s">
        <v>14</v>
      </c>
      <c r="S38" s="660">
        <f t="shared" si="12"/>
        <v>100</v>
      </c>
      <c r="T38" s="659" t="s">
        <v>14</v>
      </c>
      <c r="U38" s="660">
        <f t="shared" si="13"/>
        <v>100</v>
      </c>
      <c r="V38" s="659" t="s">
        <v>14</v>
      </c>
      <c r="W38" s="660">
        <f t="shared" si="14"/>
        <v>100</v>
      </c>
      <c r="X38" s="661"/>
      <c r="Y38" s="3383"/>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83"/>
      <c r="Q39" s="1241">
        <f t="shared" si="11"/>
        <v>111</v>
      </c>
      <c r="R39" s="657" t="s">
        <v>14</v>
      </c>
      <c r="S39" s="658">
        <f t="shared" si="12"/>
        <v>100</v>
      </c>
      <c r="T39" s="657" t="s">
        <v>14</v>
      </c>
      <c r="U39" s="658">
        <f t="shared" si="13"/>
        <v>100</v>
      </c>
      <c r="V39" s="657" t="s">
        <v>14</v>
      </c>
      <c r="W39" s="658">
        <f t="shared" si="14"/>
        <v>100</v>
      </c>
      <c r="X39" s="1243"/>
      <c r="Y39" s="3383"/>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84"/>
      <c r="Q40" s="1241">
        <f t="shared" si="11"/>
        <v>111</v>
      </c>
      <c r="R40" s="657" t="s">
        <v>14</v>
      </c>
      <c r="S40" s="658">
        <f t="shared" si="12"/>
        <v>100</v>
      </c>
      <c r="T40" s="657" t="s">
        <v>14</v>
      </c>
      <c r="U40" s="658">
        <f t="shared" si="13"/>
        <v>100</v>
      </c>
      <c r="V40" s="657" t="s">
        <v>14</v>
      </c>
      <c r="W40" s="658">
        <f t="shared" si="14"/>
        <v>100</v>
      </c>
      <c r="X40" s="1243"/>
      <c r="Y40" s="3384"/>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376" t="str">
        <f>A41</f>
        <v>成交单价（元/平方米）</v>
      </c>
      <c r="Q41" s="3376"/>
      <c r="R41" s="3377">
        <f>E41</f>
        <v>0</v>
      </c>
      <c r="S41" s="3377"/>
      <c r="T41" s="3377">
        <f>G41</f>
        <v>0</v>
      </c>
      <c r="U41" s="3377"/>
      <c r="V41" s="3377">
        <f>I41</f>
        <v>0</v>
      </c>
      <c r="W41" s="3377"/>
      <c r="X41" s="378"/>
      <c r="Y41" s="663"/>
      <c r="Z41" s="378"/>
      <c r="AA41" s="378"/>
      <c r="AB41" s="378"/>
      <c r="AC41" s="378"/>
    </row>
    <row r="42" spans="1:29" ht="15.75" thickBot="1">
      <c r="A42" s="416" t="s">
        <v>1793</v>
      </c>
      <c r="B42" s="417"/>
      <c r="C42" s="1060" t="e">
        <f>R43</f>
        <v>#DIV/0!</v>
      </c>
      <c r="D42" s="2118" t="s">
        <v>2138</v>
      </c>
      <c r="E42" s="1061" t="e">
        <f>R42</f>
        <v>#DIV/0!</v>
      </c>
      <c r="F42" s="2119"/>
      <c r="G42" s="1060" t="e">
        <f>T42</f>
        <v>#DIV/0!</v>
      </c>
      <c r="H42" s="2119"/>
      <c r="I42" s="1061" t="e">
        <f>V42</f>
        <v>#DIV/0!</v>
      </c>
      <c r="J42" s="2119"/>
      <c r="K42" s="2121">
        <f>F42+H42+J42</f>
        <v>0</v>
      </c>
      <c r="L42" s="853"/>
      <c r="M42" s="841"/>
      <c r="N42" s="841"/>
      <c r="O42" s="841"/>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2025-2</v>
      </c>
      <c r="D52" s="1082">
        <f>EDATE(C52,-1)</f>
        <v>45658</v>
      </c>
      <c r="E52" s="1082">
        <f t="shared" ref="E52:O52" si="16">EDATE(D52,-1)</f>
        <v>45627</v>
      </c>
      <c r="F52" s="1082">
        <f t="shared" si="16"/>
        <v>45597</v>
      </c>
      <c r="G52" s="1082">
        <f t="shared" si="16"/>
        <v>45566</v>
      </c>
      <c r="H52" s="1082">
        <f t="shared" si="16"/>
        <v>45536</v>
      </c>
      <c r="I52" s="1082">
        <f t="shared" si="16"/>
        <v>45505</v>
      </c>
      <c r="J52" s="1082">
        <f t="shared" si="16"/>
        <v>45474</v>
      </c>
      <c r="K52" s="1082">
        <f t="shared" si="16"/>
        <v>45444</v>
      </c>
      <c r="L52" s="1082">
        <f t="shared" si="16"/>
        <v>45413</v>
      </c>
      <c r="M52" s="1082">
        <f t="shared" si="16"/>
        <v>45383</v>
      </c>
      <c r="N52" s="1082">
        <f t="shared" si="16"/>
        <v>45352</v>
      </c>
      <c r="O52" s="1082">
        <f t="shared" si="16"/>
        <v>45323</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3331</v>
      </c>
      <c r="C1" s="1119" t="s">
        <v>1662</v>
      </c>
      <c r="D1" s="1120"/>
      <c r="E1" s="3103"/>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401" t="s">
        <v>1771</v>
      </c>
      <c r="S4" s="3402"/>
      <c r="T4" s="3401" t="s">
        <v>1772</v>
      </c>
      <c r="U4" s="3402"/>
      <c r="V4" s="3377" t="s">
        <v>1773</v>
      </c>
      <c r="W4" s="3377"/>
      <c r="X4" s="1243"/>
      <c r="Y4" s="3401" t="s">
        <v>1775</v>
      </c>
      <c r="Z4" s="3402"/>
      <c r="AA4" s="3388" t="s">
        <v>1771</v>
      </c>
      <c r="AB4" s="3389" t="s">
        <v>1772</v>
      </c>
      <c r="AC4" s="3388" t="s">
        <v>1773</v>
      </c>
    </row>
    <row r="5" spans="1:29" ht="15">
      <c r="A5" s="341"/>
      <c r="B5" s="342"/>
      <c r="C5" s="3409" t="s">
        <v>1673</v>
      </c>
      <c r="D5" s="3410"/>
      <c r="E5" s="3416" t="s">
        <v>1674</v>
      </c>
      <c r="F5" s="3417"/>
      <c r="G5" s="3409" t="s">
        <v>1675</v>
      </c>
      <c r="H5" s="3410"/>
      <c r="I5" s="3409" t="s">
        <v>1676</v>
      </c>
      <c r="J5" s="3410"/>
      <c r="K5" s="530"/>
      <c r="L5" s="2461"/>
      <c r="M5" s="2462"/>
      <c r="N5" s="2462"/>
      <c r="O5" s="2462"/>
      <c r="P5" s="3397"/>
      <c r="Q5" s="3398"/>
      <c r="R5" s="3403"/>
      <c r="S5" s="3404"/>
      <c r="T5" s="3403"/>
      <c r="U5" s="3404"/>
      <c r="V5" s="3377"/>
      <c r="W5" s="3377"/>
      <c r="X5" s="1243"/>
      <c r="Y5" s="3403"/>
      <c r="Z5" s="3404"/>
      <c r="AA5" s="3389"/>
      <c r="AB5" s="3389"/>
      <c r="AC5" s="3389"/>
    </row>
    <row r="6" spans="1:29" ht="15.75" thickBot="1">
      <c r="A6" s="343"/>
      <c r="B6" s="344"/>
      <c r="C6" s="3407" t="s">
        <v>1677</v>
      </c>
      <c r="D6" s="3408"/>
      <c r="E6" s="3414" t="s">
        <v>1677</v>
      </c>
      <c r="F6" s="3415"/>
      <c r="G6" s="3407" t="s">
        <v>1677</v>
      </c>
      <c r="H6" s="3408"/>
      <c r="I6" s="3407" t="s">
        <v>1677</v>
      </c>
      <c r="J6" s="3408"/>
      <c r="K6" s="530" t="s">
        <v>1678</v>
      </c>
      <c r="L6" s="2461"/>
      <c r="M6" s="2462"/>
      <c r="N6" s="2462"/>
      <c r="O6" s="2462"/>
      <c r="P6" s="3399"/>
      <c r="Q6" s="3400"/>
      <c r="R6" s="3403"/>
      <c r="S6" s="3404"/>
      <c r="T6" s="3405"/>
      <c r="U6" s="3406"/>
      <c r="V6" s="3377"/>
      <c r="W6" s="3377"/>
      <c r="X6" s="1243"/>
      <c r="Y6" s="3405"/>
      <c r="Z6" s="3406"/>
      <c r="AA6" s="3390"/>
      <c r="AB6" s="3390"/>
      <c r="AC6" s="3390"/>
    </row>
    <row r="7" spans="1:29" s="101" customFormat="1" ht="15.75" thickBot="1">
      <c r="A7" s="345" t="s">
        <v>1679</v>
      </c>
      <c r="B7" s="346"/>
      <c r="C7" s="347">
        <f>'数据-取费表'!B2</f>
        <v>45695</v>
      </c>
      <c r="D7" s="348">
        <v>100</v>
      </c>
      <c r="E7" s="349"/>
      <c r="F7" s="350">
        <f>SUMIF(48:48,YEAR(E7)&amp;"-"&amp;MONTH(E7),49:49)</f>
        <v>0</v>
      </c>
      <c r="G7" s="349"/>
      <c r="H7" s="348">
        <f>SUMIF(48:48,YEAR(G7)&amp;"-"&amp;MONTH(G7),49:49)</f>
        <v>0</v>
      </c>
      <c r="I7" s="349"/>
      <c r="J7" s="348">
        <f>SUMIF(48:48,YEAR(I7)&amp;"-"&amp;MONTH(I7),49:49)</f>
        <v>0</v>
      </c>
      <c r="K7" s="38"/>
      <c r="L7" s="2463"/>
      <c r="M7" s="2416"/>
      <c r="N7" s="2416"/>
      <c r="O7" s="2416"/>
      <c r="P7" s="3411" t="s">
        <v>1680</v>
      </c>
      <c r="Q7" s="3413"/>
      <c r="R7" s="654" t="s">
        <v>14</v>
      </c>
      <c r="S7" s="655">
        <f t="shared" ref="S7:S14" si="0">F7</f>
        <v>0</v>
      </c>
      <c r="T7" s="654" t="s">
        <v>14</v>
      </c>
      <c r="U7" s="655">
        <f t="shared" ref="U7:U14" si="1">H7</f>
        <v>0</v>
      </c>
      <c r="V7" s="654" t="s">
        <v>14</v>
      </c>
      <c r="W7" s="655">
        <f t="shared" ref="W7:W14" si="2">J7</f>
        <v>0</v>
      </c>
      <c r="X7" s="656"/>
      <c r="Y7" s="3411" t="s">
        <v>1680</v>
      </c>
      <c r="Z7" s="3412"/>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411" t="s">
        <v>1683</v>
      </c>
      <c r="Q8" s="3412"/>
      <c r="R8" s="654" t="s">
        <v>14</v>
      </c>
      <c r="S8" s="655">
        <f t="shared" si="0"/>
        <v>100</v>
      </c>
      <c r="T8" s="654" t="s">
        <v>14</v>
      </c>
      <c r="U8" s="655">
        <f t="shared" si="1"/>
        <v>100</v>
      </c>
      <c r="V8" s="654" t="s">
        <v>14</v>
      </c>
      <c r="W8" s="655">
        <f t="shared" si="2"/>
        <v>100</v>
      </c>
      <c r="X8" s="656"/>
      <c r="Y8" s="3411" t="s">
        <v>1683</v>
      </c>
      <c r="Z8" s="3412"/>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76" t="s">
        <v>1686</v>
      </c>
      <c r="Q9" s="523" t="str">
        <f t="shared" ref="Q9:Q14" si="6">B9</f>
        <v>用途</v>
      </c>
      <c r="R9" s="654" t="s">
        <v>14</v>
      </c>
      <c r="S9" s="655">
        <f t="shared" si="0"/>
        <v>100</v>
      </c>
      <c r="T9" s="654" t="s">
        <v>14</v>
      </c>
      <c r="U9" s="655">
        <f t="shared" si="1"/>
        <v>100</v>
      </c>
      <c r="V9" s="654" t="s">
        <v>14</v>
      </c>
      <c r="W9" s="655">
        <f t="shared" si="2"/>
        <v>100</v>
      </c>
      <c r="X9" s="656"/>
      <c r="Y9" s="3232" t="s">
        <v>1687</v>
      </c>
      <c r="Z9" s="50" t="str">
        <f t="shared" ref="Z9:Z14" si="7">Q9</f>
        <v>用途</v>
      </c>
      <c r="AA9" s="50">
        <f t="shared" si="3"/>
        <v>1</v>
      </c>
      <c r="AB9" s="50">
        <f t="shared" si="4"/>
        <v>1</v>
      </c>
      <c r="AC9" s="50">
        <f t="shared" si="5"/>
        <v>1</v>
      </c>
    </row>
    <row r="10" spans="1:29" s="359" customFormat="1" ht="27">
      <c r="A10" s="558"/>
      <c r="B10" s="559" t="s">
        <v>1688</v>
      </c>
      <c r="C10" s="3104"/>
      <c r="D10" s="113">
        <v>100</v>
      </c>
      <c r="E10" s="3104"/>
      <c r="F10" s="113">
        <f>SUMIF(55:55,E10,56:56)-SUMIF(55:55,C10,56:56)+100</f>
        <v>100</v>
      </c>
      <c r="G10" s="3105"/>
      <c r="H10" s="113">
        <f>SUMIF(55:55,G10,56:56)-SUMIF(55:55,C10,56:56)+100</f>
        <v>100</v>
      </c>
      <c r="I10" s="3104"/>
      <c r="J10" s="113">
        <f>SUMIF(55:55,I10,56:56)-SUMIF(55:55,C10,56:56)+100</f>
        <v>100</v>
      </c>
      <c r="K10" s="38"/>
      <c r="L10" s="2464"/>
      <c r="M10" s="2465"/>
      <c r="N10" s="2465"/>
      <c r="O10" s="2465"/>
      <c r="P10" s="3376"/>
      <c r="Q10" s="523" t="str">
        <f t="shared" si="6"/>
        <v>土地使用年限（年）</v>
      </c>
      <c r="R10" s="654" t="s">
        <v>14</v>
      </c>
      <c r="S10" s="655">
        <f t="shared" si="0"/>
        <v>100</v>
      </c>
      <c r="T10" s="654" t="s">
        <v>14</v>
      </c>
      <c r="U10" s="655">
        <f t="shared" si="1"/>
        <v>100</v>
      </c>
      <c r="V10" s="654" t="s">
        <v>14</v>
      </c>
      <c r="W10" s="655">
        <f t="shared" si="2"/>
        <v>100</v>
      </c>
      <c r="X10" s="656"/>
      <c r="Y10" s="3232"/>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76"/>
      <c r="Q11" s="523">
        <f t="shared" si="6"/>
        <v>111</v>
      </c>
      <c r="R11" s="654" t="s">
        <v>14</v>
      </c>
      <c r="S11" s="655">
        <f t="shared" si="0"/>
        <v>100</v>
      </c>
      <c r="T11" s="654" t="s">
        <v>14</v>
      </c>
      <c r="U11" s="655">
        <f t="shared" si="1"/>
        <v>100</v>
      </c>
      <c r="V11" s="654" t="s">
        <v>14</v>
      </c>
      <c r="W11" s="655">
        <f t="shared" si="2"/>
        <v>100</v>
      </c>
      <c r="X11" s="656"/>
      <c r="Y11" s="3232"/>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76"/>
      <c r="Q12" s="523">
        <f t="shared" si="6"/>
        <v>111</v>
      </c>
      <c r="R12" s="654" t="s">
        <v>14</v>
      </c>
      <c r="S12" s="655">
        <f t="shared" si="0"/>
        <v>100</v>
      </c>
      <c r="T12" s="654" t="s">
        <v>14</v>
      </c>
      <c r="U12" s="655">
        <f t="shared" si="1"/>
        <v>100</v>
      </c>
      <c r="V12" s="654" t="s">
        <v>14</v>
      </c>
      <c r="W12" s="655">
        <f t="shared" si="2"/>
        <v>100</v>
      </c>
      <c r="X12" s="656"/>
      <c r="Y12" s="3232"/>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76"/>
      <c r="Q13" s="523">
        <f t="shared" si="6"/>
        <v>111</v>
      </c>
      <c r="R13" s="654" t="s">
        <v>14</v>
      </c>
      <c r="S13" s="655">
        <f t="shared" si="0"/>
        <v>100</v>
      </c>
      <c r="T13" s="654" t="s">
        <v>14</v>
      </c>
      <c r="U13" s="655">
        <f t="shared" si="1"/>
        <v>100</v>
      </c>
      <c r="V13" s="654" t="s">
        <v>14</v>
      </c>
      <c r="W13" s="655">
        <f t="shared" si="2"/>
        <v>100</v>
      </c>
      <c r="X13" s="656"/>
      <c r="Y13" s="3232"/>
      <c r="Z13" s="50">
        <f t="shared" si="7"/>
        <v>111</v>
      </c>
      <c r="AA13" s="50">
        <f t="shared" si="3"/>
        <v>1</v>
      </c>
      <c r="AB13" s="50">
        <f t="shared" si="4"/>
        <v>1</v>
      </c>
      <c r="AC13" s="50">
        <f t="shared" si="5"/>
        <v>1</v>
      </c>
    </row>
    <row r="14" spans="1:29" ht="85.5">
      <c r="A14" s="338" t="s">
        <v>1690</v>
      </c>
      <c r="B14" s="547" t="s">
        <v>1833</v>
      </c>
      <c r="C14" s="1796" t="str">
        <f>IF(B1="工业",估价对象房地状况!G4,估价对象房地状况!C6)</f>
        <v>估价对象周边道路状况、公共交通通达情况、停车便捷程度，综合评价交通便捷度较好</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78" t="s">
        <v>1691</v>
      </c>
      <c r="Q14" s="1241" t="str">
        <f t="shared" si="6"/>
        <v>交通便捷度</v>
      </c>
      <c r="R14" s="657" t="s">
        <v>14</v>
      </c>
      <c r="S14" s="658">
        <f t="shared" si="0"/>
        <v>100</v>
      </c>
      <c r="T14" s="657" t="s">
        <v>14</v>
      </c>
      <c r="U14" s="658">
        <f t="shared" si="1"/>
        <v>100</v>
      </c>
      <c r="V14" s="657" t="s">
        <v>14</v>
      </c>
      <c r="W14" s="658">
        <f t="shared" si="2"/>
        <v>100</v>
      </c>
      <c r="X14" s="1243"/>
      <c r="Y14" s="3378"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79"/>
      <c r="Q15" s="1241"/>
      <c r="R15" s="657"/>
      <c r="S15" s="658"/>
      <c r="T15" s="657"/>
      <c r="U15" s="658"/>
      <c r="V15" s="657"/>
      <c r="W15" s="658"/>
      <c r="X15" s="1243"/>
      <c r="Y15" s="3379"/>
      <c r="Z15" s="1242"/>
      <c r="AA15" s="1242">
        <v>1</v>
      </c>
      <c r="AB15" s="1242">
        <v>1</v>
      </c>
      <c r="AC15" s="1242">
        <v>1</v>
      </c>
    </row>
    <row r="16" spans="1:29" ht="42.75">
      <c r="A16" s="341"/>
      <c r="B16" s="549" t="s">
        <v>1812</v>
      </c>
      <c r="C16" s="1731" t="str">
        <f>IF(B1="工业",估价对象房地状况!G5,估价对象房地状况!C7)</f>
        <v>估价对象所在区域公共配套设施齐备情况</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79"/>
      <c r="Q16" s="1241" t="str">
        <f>B16</f>
        <v>公共配套设施</v>
      </c>
      <c r="R16" s="657" t="s">
        <v>14</v>
      </c>
      <c r="S16" s="658">
        <f>F16</f>
        <v>100</v>
      </c>
      <c r="T16" s="657" t="s">
        <v>14</v>
      </c>
      <c r="U16" s="658">
        <f>H16</f>
        <v>100</v>
      </c>
      <c r="V16" s="657" t="s">
        <v>14</v>
      </c>
      <c r="W16" s="658">
        <f>J16</f>
        <v>100</v>
      </c>
      <c r="X16" s="1243"/>
      <c r="Y16" s="3379"/>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79"/>
      <c r="Q17" s="1241"/>
      <c r="R17" s="657"/>
      <c r="S17" s="658"/>
      <c r="T17" s="657"/>
      <c r="U17" s="658"/>
      <c r="V17" s="657"/>
      <c r="W17" s="658"/>
      <c r="X17" s="1243"/>
      <c r="Y17" s="3379"/>
      <c r="Z17" s="1242"/>
      <c r="AA17" s="1242">
        <v>1</v>
      </c>
      <c r="AB17" s="1242">
        <v>1</v>
      </c>
      <c r="AC17" s="1242">
        <v>1</v>
      </c>
    </row>
    <row r="18" spans="1:29" ht="28.5">
      <c r="A18" s="341"/>
      <c r="B18" s="550" t="s">
        <v>1813</v>
      </c>
      <c r="C18" s="1731" t="str">
        <f>IF(B1="工业",估价对象房地状况!G6,估价对象房地状况!C8)</f>
        <v>估价对象所在区域基础设施水平</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79"/>
      <c r="Q18" s="1241" t="str">
        <f>B18</f>
        <v>基础设施水平</v>
      </c>
      <c r="R18" s="657" t="s">
        <v>14</v>
      </c>
      <c r="S18" s="658">
        <f>F18</f>
        <v>100</v>
      </c>
      <c r="T18" s="657" t="s">
        <v>14</v>
      </c>
      <c r="U18" s="658">
        <f>H18</f>
        <v>100</v>
      </c>
      <c r="V18" s="657" t="s">
        <v>14</v>
      </c>
      <c r="W18" s="658">
        <f>J18</f>
        <v>100</v>
      </c>
      <c r="X18" s="1243"/>
      <c r="Y18" s="3379"/>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79"/>
      <c r="Q19" s="1241"/>
      <c r="R19" s="657"/>
      <c r="S19" s="658"/>
      <c r="T19" s="657"/>
      <c r="U19" s="658"/>
      <c r="V19" s="657"/>
      <c r="W19" s="658"/>
      <c r="X19" s="1243"/>
      <c r="Y19" s="3379"/>
      <c r="Z19" s="1242"/>
      <c r="AA19" s="1242">
        <v>1</v>
      </c>
      <c r="AB19" s="1242">
        <v>1</v>
      </c>
      <c r="AC19" s="1242">
        <v>1</v>
      </c>
    </row>
    <row r="20" spans="1:29" ht="57">
      <c r="A20" s="341"/>
      <c r="B20" s="549" t="s">
        <v>1834</v>
      </c>
      <c r="C20" s="1731" t="str">
        <f>IF(B1="工业",估价对象房地状况!G7,估价对象房地状况!C9)</f>
        <v>区域自然环境：；人文环境；综合评价环境状况一般</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79"/>
      <c r="Q20" s="1241" t="str">
        <f>B20</f>
        <v>自然及人文环境</v>
      </c>
      <c r="R20" s="657" t="s">
        <v>14</v>
      </c>
      <c r="S20" s="658">
        <f>F20</f>
        <v>100</v>
      </c>
      <c r="T20" s="657" t="s">
        <v>14</v>
      </c>
      <c r="U20" s="658">
        <f>H20</f>
        <v>100</v>
      </c>
      <c r="V20" s="657" t="s">
        <v>14</v>
      </c>
      <c r="W20" s="658">
        <f>J20</f>
        <v>100</v>
      </c>
      <c r="X20" s="1243"/>
      <c r="Y20" s="3379"/>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79"/>
      <c r="Q21" s="1241"/>
      <c r="R21" s="657"/>
      <c r="S21" s="658"/>
      <c r="T21" s="657"/>
      <c r="U21" s="658"/>
      <c r="V21" s="657"/>
      <c r="W21" s="658"/>
      <c r="X21" s="1243"/>
      <c r="Y21" s="3379"/>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79"/>
      <c r="Q22" s="1241" t="str">
        <f>B22</f>
        <v>楼层</v>
      </c>
      <c r="R22" s="657" t="s">
        <v>14</v>
      </c>
      <c r="S22" s="658">
        <f>F22</f>
        <v>100</v>
      </c>
      <c r="T22" s="657" t="s">
        <v>14</v>
      </c>
      <c r="U22" s="658">
        <f>H22</f>
        <v>100</v>
      </c>
      <c r="V22" s="657" t="s">
        <v>14</v>
      </c>
      <c r="W22" s="658">
        <f>J22</f>
        <v>100</v>
      </c>
      <c r="X22" s="1243"/>
      <c r="Y22" s="3379"/>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79"/>
      <c r="Q23" s="1241">
        <f>B23</f>
        <v>111</v>
      </c>
      <c r="R23" s="657" t="s">
        <v>14</v>
      </c>
      <c r="S23" s="658">
        <f>F23</f>
        <v>100</v>
      </c>
      <c r="T23" s="657" t="s">
        <v>14</v>
      </c>
      <c r="U23" s="658">
        <f>H23</f>
        <v>100</v>
      </c>
      <c r="V23" s="657" t="s">
        <v>14</v>
      </c>
      <c r="W23" s="658">
        <f>J23</f>
        <v>100</v>
      </c>
      <c r="X23" s="1243"/>
      <c r="Y23" s="3379"/>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79"/>
      <c r="Q24" s="1241">
        <f t="shared" ref="Q24:Q36" si="11">B24</f>
        <v>111</v>
      </c>
      <c r="R24" s="657" t="s">
        <v>14</v>
      </c>
      <c r="S24" s="658">
        <f>F24</f>
        <v>100</v>
      </c>
      <c r="T24" s="657" t="s">
        <v>14</v>
      </c>
      <c r="U24" s="658">
        <f>H24</f>
        <v>100</v>
      </c>
      <c r="V24" s="657" t="s">
        <v>14</v>
      </c>
      <c r="W24" s="658">
        <f>J24</f>
        <v>100</v>
      </c>
      <c r="X24" s="1243"/>
      <c r="Y24" s="3379"/>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79"/>
      <c r="Q25" s="523">
        <f t="shared" si="11"/>
        <v>111</v>
      </c>
      <c r="R25" s="654" t="s">
        <v>14</v>
      </c>
      <c r="S25" s="655">
        <f>F25</f>
        <v>100</v>
      </c>
      <c r="T25" s="654" t="s">
        <v>14</v>
      </c>
      <c r="U25" s="655">
        <f>H25</f>
        <v>100</v>
      </c>
      <c r="V25" s="654" t="s">
        <v>14</v>
      </c>
      <c r="W25" s="655">
        <f>J25</f>
        <v>100</v>
      </c>
      <c r="X25" s="656"/>
      <c r="Y25" s="3379"/>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33"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83"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83"/>
      <c r="Q27" s="524" t="str">
        <f t="shared" si="11"/>
        <v>项目停车位配比</v>
      </c>
      <c r="R27" s="659" t="s">
        <v>14</v>
      </c>
      <c r="S27" s="660">
        <f t="shared" si="12"/>
        <v>100</v>
      </c>
      <c r="T27" s="659" t="s">
        <v>14</v>
      </c>
      <c r="U27" s="660">
        <f t="shared" si="13"/>
        <v>100</v>
      </c>
      <c r="V27" s="659" t="s">
        <v>14</v>
      </c>
      <c r="W27" s="660">
        <f t="shared" si="14"/>
        <v>100</v>
      </c>
      <c r="X27" s="661"/>
      <c r="Y27" s="3383"/>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83"/>
      <c r="Q28" s="1241" t="str">
        <f t="shared" si="11"/>
        <v>公共部分装修</v>
      </c>
      <c r="R28" s="657" t="s">
        <v>14</v>
      </c>
      <c r="S28" s="658">
        <f t="shared" si="12"/>
        <v>100</v>
      </c>
      <c r="T28" s="657" t="s">
        <v>14</v>
      </c>
      <c r="U28" s="658">
        <f t="shared" si="13"/>
        <v>100</v>
      </c>
      <c r="V28" s="657" t="s">
        <v>14</v>
      </c>
      <c r="W28" s="658">
        <f t="shared" si="14"/>
        <v>100</v>
      </c>
      <c r="X28" s="1243"/>
      <c r="Y28" s="3383"/>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83"/>
      <c r="Q29" s="1241" t="str">
        <f t="shared" si="11"/>
        <v>成新率</v>
      </c>
      <c r="R29" s="657" t="s">
        <v>14</v>
      </c>
      <c r="S29" s="658" t="e">
        <f t="shared" si="12"/>
        <v>#N/A</v>
      </c>
      <c r="T29" s="657" t="s">
        <v>14</v>
      </c>
      <c r="U29" s="658" t="e">
        <f t="shared" si="13"/>
        <v>#N/A</v>
      </c>
      <c r="V29" s="657" t="s">
        <v>14</v>
      </c>
      <c r="W29" s="658" t="e">
        <f t="shared" si="14"/>
        <v>#N/A</v>
      </c>
      <c r="X29" s="1243"/>
      <c r="Y29" s="3383"/>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83"/>
      <c r="Q30" s="1241" t="str">
        <f t="shared" si="11"/>
        <v>物业等级</v>
      </c>
      <c r="R30" s="657" t="s">
        <v>14</v>
      </c>
      <c r="S30" s="658">
        <f t="shared" si="12"/>
        <v>100</v>
      </c>
      <c r="T30" s="657" t="s">
        <v>14</v>
      </c>
      <c r="U30" s="658">
        <f t="shared" si="13"/>
        <v>100</v>
      </c>
      <c r="V30" s="657" t="s">
        <v>14</v>
      </c>
      <c r="W30" s="658">
        <f t="shared" si="14"/>
        <v>100</v>
      </c>
      <c r="X30" s="1243"/>
      <c r="Y30" s="3383"/>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83"/>
      <c r="Q31" s="523" t="str">
        <f t="shared" si="11"/>
        <v>停车位面积</v>
      </c>
      <c r="R31" s="654" t="s">
        <v>14</v>
      </c>
      <c r="S31" s="655" t="e">
        <f t="shared" si="12"/>
        <v>#N/A</v>
      </c>
      <c r="T31" s="654" t="s">
        <v>14</v>
      </c>
      <c r="U31" s="655" t="e">
        <f t="shared" si="13"/>
        <v>#N/A</v>
      </c>
      <c r="V31" s="654" t="s">
        <v>14</v>
      </c>
      <c r="W31" s="655" t="e">
        <f t="shared" si="14"/>
        <v>#N/A</v>
      </c>
      <c r="X31" s="656"/>
      <c r="Y31" s="3383"/>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83" t="s">
        <v>1696</v>
      </c>
      <c r="Q32" s="1241" t="str">
        <f t="shared" si="11"/>
        <v>车位类型</v>
      </c>
      <c r="R32" s="657" t="s">
        <v>14</v>
      </c>
      <c r="S32" s="658">
        <f t="shared" si="12"/>
        <v>100</v>
      </c>
      <c r="T32" s="657" t="s">
        <v>14</v>
      </c>
      <c r="U32" s="658">
        <f t="shared" si="13"/>
        <v>100</v>
      </c>
      <c r="V32" s="657" t="s">
        <v>14</v>
      </c>
      <c r="W32" s="658">
        <f t="shared" si="14"/>
        <v>100</v>
      </c>
      <c r="X32" s="1243"/>
      <c r="Y32" s="3383"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83"/>
      <c r="Q33" s="1241" t="str">
        <f t="shared" si="11"/>
        <v>是否直接入户</v>
      </c>
      <c r="R33" s="657" t="s">
        <v>14</v>
      </c>
      <c r="S33" s="658">
        <f t="shared" si="12"/>
        <v>100</v>
      </c>
      <c r="T33" s="657" t="s">
        <v>14</v>
      </c>
      <c r="U33" s="658">
        <f t="shared" si="13"/>
        <v>100</v>
      </c>
      <c r="V33" s="657" t="s">
        <v>14</v>
      </c>
      <c r="W33" s="658">
        <f t="shared" si="14"/>
        <v>100</v>
      </c>
      <c r="X33" s="1243"/>
      <c r="Y33" s="3383"/>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83"/>
      <c r="Q34" s="1241">
        <f t="shared" si="11"/>
        <v>111</v>
      </c>
      <c r="R34" s="657" t="s">
        <v>14</v>
      </c>
      <c r="S34" s="658">
        <f t="shared" si="12"/>
        <v>100</v>
      </c>
      <c r="T34" s="657" t="s">
        <v>14</v>
      </c>
      <c r="U34" s="658">
        <f t="shared" si="13"/>
        <v>100</v>
      </c>
      <c r="V34" s="657" t="s">
        <v>14</v>
      </c>
      <c r="W34" s="658">
        <f t="shared" si="14"/>
        <v>100</v>
      </c>
      <c r="X34" s="1243"/>
      <c r="Y34" s="3383"/>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83"/>
      <c r="Q35" s="524">
        <f t="shared" si="11"/>
        <v>111</v>
      </c>
      <c r="R35" s="659" t="s">
        <v>14</v>
      </c>
      <c r="S35" s="660">
        <f t="shared" si="12"/>
        <v>100</v>
      </c>
      <c r="T35" s="659" t="s">
        <v>14</v>
      </c>
      <c r="U35" s="660">
        <f t="shared" si="13"/>
        <v>100</v>
      </c>
      <c r="V35" s="659" t="s">
        <v>14</v>
      </c>
      <c r="W35" s="660">
        <f t="shared" si="14"/>
        <v>100</v>
      </c>
      <c r="X35" s="661"/>
      <c r="Y35" s="3383"/>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83"/>
      <c r="Q36" s="1241">
        <f t="shared" si="11"/>
        <v>111</v>
      </c>
      <c r="R36" s="657" t="s">
        <v>14</v>
      </c>
      <c r="S36" s="658">
        <f t="shared" si="12"/>
        <v>100</v>
      </c>
      <c r="T36" s="657" t="s">
        <v>14</v>
      </c>
      <c r="U36" s="658">
        <f t="shared" si="13"/>
        <v>100</v>
      </c>
      <c r="V36" s="657" t="s">
        <v>14</v>
      </c>
      <c r="W36" s="658">
        <f t="shared" si="14"/>
        <v>100</v>
      </c>
      <c r="X36" s="1243"/>
      <c r="Y36" s="3383"/>
      <c r="Z36" s="1242">
        <f t="shared" si="15"/>
        <v>111</v>
      </c>
      <c r="AA36" s="1242">
        <f t="shared" si="3"/>
        <v>1</v>
      </c>
      <c r="AB36" s="1242">
        <f t="shared" si="4"/>
        <v>1</v>
      </c>
      <c r="AC36" s="1242">
        <f t="shared" si="5"/>
        <v>1</v>
      </c>
    </row>
    <row r="37" spans="1:29" ht="15">
      <c r="A37" s="409" t="s">
        <v>1844</v>
      </c>
      <c r="B37" s="1798" t="s">
        <v>3352</v>
      </c>
      <c r="C37" s="1059" t="s">
        <v>0</v>
      </c>
      <c r="D37" s="411"/>
      <c r="E37" s="412"/>
      <c r="F37" s="413"/>
      <c r="G37" s="414"/>
      <c r="H37" s="415"/>
      <c r="I37" s="412"/>
      <c r="J37" s="415"/>
      <c r="K37" s="538"/>
      <c r="L37" s="2469"/>
      <c r="M37" s="2462"/>
      <c r="N37" s="2462"/>
      <c r="O37" s="2462"/>
      <c r="P37" s="3376" t="str">
        <f>A37</f>
        <v>成交单价</v>
      </c>
      <c r="Q37" s="3376"/>
      <c r="R37" s="3377">
        <f>E37</f>
        <v>0</v>
      </c>
      <c r="S37" s="3377"/>
      <c r="T37" s="3377">
        <f>G37</f>
        <v>0</v>
      </c>
      <c r="U37" s="3377"/>
      <c r="V37" s="3377">
        <f>I37</f>
        <v>0</v>
      </c>
      <c r="W37" s="3377"/>
      <c r="X37" s="378"/>
      <c r="Y37" s="663"/>
      <c r="Z37" s="378"/>
      <c r="AA37" s="378"/>
      <c r="AB37" s="378"/>
      <c r="AC37" s="378"/>
    </row>
    <row r="38" spans="1:29" ht="15.75" thickBot="1">
      <c r="A38" s="416" t="s">
        <v>1845</v>
      </c>
      <c r="B38" s="417" t="str">
        <f>B37</f>
        <v>元/平方米</v>
      </c>
      <c r="C38" s="1060" t="e">
        <f>R39</f>
        <v>#DIV/0!</v>
      </c>
      <c r="D38" s="2118" t="s">
        <v>2138</v>
      </c>
      <c r="E38" s="1061" t="e">
        <f>R38</f>
        <v>#DIV/0!</v>
      </c>
      <c r="F38" s="2119"/>
      <c r="G38" s="1060" t="e">
        <f>T38</f>
        <v>#DIV/0!</v>
      </c>
      <c r="H38" s="2119"/>
      <c r="I38" s="1061" t="e">
        <f>V38</f>
        <v>#DIV/0!</v>
      </c>
      <c r="J38" s="2119"/>
      <c r="K38" s="2121">
        <f>F38+H38+J38</f>
        <v>0</v>
      </c>
      <c r="L38" s="2469"/>
      <c r="M38" s="2462"/>
      <c r="N38" s="2462"/>
      <c r="O38" s="2462"/>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373" t="str">
        <f>A39</f>
        <v>估价对象XX用房的比较价值（楼面单价，元/平方米）</v>
      </c>
      <c r="Q39" s="3374"/>
      <c r="R39" s="3434" t="e">
        <f>IF(F1="售价",ROUND(IF(D38="简单平均",AVERAGE(R38:W38),R38*F38+T38*H38+V38*J38),0),ROUND(IF(D38="简单平均",AVERAGE(R38:V38),R38*F38+T38*H38+V38*J38),1))</f>
        <v>#DIV/0!</v>
      </c>
      <c r="S39" s="3434"/>
      <c r="T39" s="3434"/>
      <c r="U39" s="3434"/>
      <c r="V39" s="3434"/>
      <c r="W39" s="3434"/>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2025-2</v>
      </c>
      <c r="D48" s="1082">
        <f>EDATE(C48,-1)</f>
        <v>45658</v>
      </c>
      <c r="E48" s="1082">
        <f t="shared" ref="E48:O48" si="16">EDATE(D48,-1)</f>
        <v>45627</v>
      </c>
      <c r="F48" s="1082">
        <f t="shared" si="16"/>
        <v>45597</v>
      </c>
      <c r="G48" s="1082">
        <f t="shared" si="16"/>
        <v>45566</v>
      </c>
      <c r="H48" s="1082">
        <f t="shared" si="16"/>
        <v>45536</v>
      </c>
      <c r="I48" s="1082">
        <f t="shared" si="16"/>
        <v>45505</v>
      </c>
      <c r="J48" s="1082">
        <f t="shared" si="16"/>
        <v>45474</v>
      </c>
      <c r="K48" s="1082">
        <f t="shared" si="16"/>
        <v>45444</v>
      </c>
      <c r="L48" s="1082">
        <f t="shared" si="16"/>
        <v>45413</v>
      </c>
      <c r="M48" s="1082">
        <f t="shared" si="16"/>
        <v>45383</v>
      </c>
      <c r="N48" s="1082">
        <f t="shared" si="16"/>
        <v>45352</v>
      </c>
      <c r="O48" s="1082">
        <f t="shared" si="16"/>
        <v>45323</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3332</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401" t="s">
        <v>1771</v>
      </c>
      <c r="S4" s="3402"/>
      <c r="T4" s="3401" t="s">
        <v>1772</v>
      </c>
      <c r="U4" s="3402"/>
      <c r="V4" s="3377" t="s">
        <v>1773</v>
      </c>
      <c r="W4" s="3377"/>
      <c r="X4" s="1243"/>
      <c r="Y4" s="3401" t="s">
        <v>1775</v>
      </c>
      <c r="Z4" s="3402"/>
      <c r="AA4" s="3388" t="s">
        <v>1771</v>
      </c>
      <c r="AB4" s="3389" t="s">
        <v>1772</v>
      </c>
      <c r="AC4" s="3388" t="s">
        <v>1773</v>
      </c>
    </row>
    <row r="5" spans="1:29" ht="15">
      <c r="A5" s="341"/>
      <c r="B5" s="342"/>
      <c r="C5" s="3409" t="s">
        <v>1673</v>
      </c>
      <c r="D5" s="3410"/>
      <c r="E5" s="3416" t="s">
        <v>1674</v>
      </c>
      <c r="F5" s="3417"/>
      <c r="G5" s="3409" t="s">
        <v>1675</v>
      </c>
      <c r="H5" s="3410"/>
      <c r="I5" s="3409" t="s">
        <v>1676</v>
      </c>
      <c r="J5" s="3410"/>
      <c r="K5" s="530"/>
      <c r="L5" s="2461"/>
      <c r="M5" s="2462"/>
      <c r="N5" s="2462"/>
      <c r="O5" s="2462"/>
      <c r="P5" s="3397"/>
      <c r="Q5" s="3398"/>
      <c r="R5" s="3403"/>
      <c r="S5" s="3404"/>
      <c r="T5" s="3403"/>
      <c r="U5" s="3404"/>
      <c r="V5" s="3377"/>
      <c r="W5" s="3377"/>
      <c r="X5" s="1243"/>
      <c r="Y5" s="3403"/>
      <c r="Z5" s="3404"/>
      <c r="AA5" s="3389"/>
      <c r="AB5" s="3389"/>
      <c r="AC5" s="3389"/>
    </row>
    <row r="6" spans="1:29" ht="15.75" thickBot="1">
      <c r="A6" s="343"/>
      <c r="B6" s="344"/>
      <c r="C6" s="3407" t="s">
        <v>1677</v>
      </c>
      <c r="D6" s="3408"/>
      <c r="E6" s="3414" t="s">
        <v>1677</v>
      </c>
      <c r="F6" s="3415"/>
      <c r="G6" s="3407" t="s">
        <v>1677</v>
      </c>
      <c r="H6" s="3408"/>
      <c r="I6" s="3407" t="s">
        <v>1677</v>
      </c>
      <c r="J6" s="3408"/>
      <c r="K6" s="530" t="s">
        <v>1678</v>
      </c>
      <c r="L6" s="2461"/>
      <c r="M6" s="2462"/>
      <c r="N6" s="2462"/>
      <c r="O6" s="2462"/>
      <c r="P6" s="3399"/>
      <c r="Q6" s="3400"/>
      <c r="R6" s="3403"/>
      <c r="S6" s="3404"/>
      <c r="T6" s="3405"/>
      <c r="U6" s="3406"/>
      <c r="V6" s="3377"/>
      <c r="W6" s="3377"/>
      <c r="X6" s="1243"/>
      <c r="Y6" s="3405"/>
      <c r="Z6" s="3406"/>
      <c r="AA6" s="3390"/>
      <c r="AB6" s="3390"/>
      <c r="AC6" s="3390"/>
    </row>
    <row r="7" spans="1:29" s="101" customFormat="1" ht="15.75" thickBot="1">
      <c r="A7" s="345" t="s">
        <v>1679</v>
      </c>
      <c r="B7" s="346"/>
      <c r="C7" s="347">
        <f>'数据-取费表'!B2</f>
        <v>45695</v>
      </c>
      <c r="D7" s="348">
        <v>100</v>
      </c>
      <c r="E7" s="349"/>
      <c r="F7" s="350">
        <f>SUMIF(46:46,YEAR(E7)&amp;"-"&amp;MONTH(E7),47:47)</f>
        <v>0</v>
      </c>
      <c r="G7" s="1799"/>
      <c r="H7" s="348">
        <f>SUMIF(46:46,YEAR(G7)&amp;"-"&amp;MONTH(G7),47:47)</f>
        <v>0</v>
      </c>
      <c r="I7" s="349"/>
      <c r="J7" s="348">
        <f>SUMIF(46:46,YEAR(I7)&amp;"-"&amp;MONTH(I7),47:47)</f>
        <v>0</v>
      </c>
      <c r="K7" s="38"/>
      <c r="L7" s="2463"/>
      <c r="M7" s="2416"/>
      <c r="N7" s="2416"/>
      <c r="O7" s="2416"/>
      <c r="P7" s="3411" t="s">
        <v>1680</v>
      </c>
      <c r="Q7" s="3413"/>
      <c r="R7" s="654" t="s">
        <v>14</v>
      </c>
      <c r="S7" s="655">
        <f t="shared" ref="S7:S14" si="0">F7</f>
        <v>0</v>
      </c>
      <c r="T7" s="654" t="s">
        <v>14</v>
      </c>
      <c r="U7" s="655">
        <f t="shared" ref="U7:U14" si="1">H7</f>
        <v>0</v>
      </c>
      <c r="V7" s="654" t="s">
        <v>14</v>
      </c>
      <c r="W7" s="655">
        <f t="shared" ref="W7:W14" si="2">J7</f>
        <v>0</v>
      </c>
      <c r="X7" s="656"/>
      <c r="Y7" s="3411" t="s">
        <v>1680</v>
      </c>
      <c r="Z7" s="3412"/>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411" t="s">
        <v>1683</v>
      </c>
      <c r="Q8" s="3412"/>
      <c r="R8" s="654" t="s">
        <v>14</v>
      </c>
      <c r="S8" s="655">
        <f t="shared" si="0"/>
        <v>100</v>
      </c>
      <c r="T8" s="654" t="s">
        <v>14</v>
      </c>
      <c r="U8" s="655">
        <f t="shared" si="1"/>
        <v>100</v>
      </c>
      <c r="V8" s="654" t="s">
        <v>14</v>
      </c>
      <c r="W8" s="655">
        <f t="shared" si="2"/>
        <v>100</v>
      </c>
      <c r="X8" s="656"/>
      <c r="Y8" s="3411" t="s">
        <v>1683</v>
      </c>
      <c r="Z8" s="3412"/>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76" t="s">
        <v>1686</v>
      </c>
      <c r="Q9" s="523" t="str">
        <f t="shared" ref="Q9:Q14" si="6">B9</f>
        <v>用途</v>
      </c>
      <c r="R9" s="654" t="s">
        <v>14</v>
      </c>
      <c r="S9" s="655">
        <f t="shared" si="0"/>
        <v>100</v>
      </c>
      <c r="T9" s="654" t="s">
        <v>14</v>
      </c>
      <c r="U9" s="655">
        <f t="shared" si="1"/>
        <v>100</v>
      </c>
      <c r="V9" s="654" t="s">
        <v>14</v>
      </c>
      <c r="W9" s="655">
        <f t="shared" si="2"/>
        <v>100</v>
      </c>
      <c r="X9" s="656"/>
      <c r="Y9" s="3232" t="s">
        <v>1687</v>
      </c>
      <c r="Z9" s="50" t="str">
        <f t="shared" ref="Z9:Z14" si="7">Q9</f>
        <v>用途</v>
      </c>
      <c r="AA9" s="50">
        <f t="shared" si="3"/>
        <v>1</v>
      </c>
      <c r="AB9" s="50">
        <f t="shared" si="4"/>
        <v>1</v>
      </c>
      <c r="AC9" s="50">
        <f t="shared" si="5"/>
        <v>1</v>
      </c>
    </row>
    <row r="10" spans="1:29" s="359" customFormat="1" ht="27">
      <c r="A10" s="356"/>
      <c r="B10" s="357" t="s">
        <v>1688</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376"/>
      <c r="Q10" s="523" t="str">
        <f t="shared" si="6"/>
        <v>土地使用年限（年）</v>
      </c>
      <c r="R10" s="654" t="s">
        <v>14</v>
      </c>
      <c r="S10" s="655">
        <f t="shared" si="0"/>
        <v>100</v>
      </c>
      <c r="T10" s="654" t="s">
        <v>14</v>
      </c>
      <c r="U10" s="655">
        <f t="shared" si="1"/>
        <v>100</v>
      </c>
      <c r="V10" s="654" t="s">
        <v>14</v>
      </c>
      <c r="W10" s="655">
        <f t="shared" si="2"/>
        <v>100</v>
      </c>
      <c r="X10" s="656"/>
      <c r="Y10" s="3232"/>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76"/>
      <c r="Q11" s="523">
        <f t="shared" si="6"/>
        <v>111</v>
      </c>
      <c r="R11" s="654" t="s">
        <v>14</v>
      </c>
      <c r="S11" s="655">
        <f t="shared" si="0"/>
        <v>100</v>
      </c>
      <c r="T11" s="654" t="s">
        <v>14</v>
      </c>
      <c r="U11" s="655">
        <f t="shared" si="1"/>
        <v>100</v>
      </c>
      <c r="V11" s="654" t="s">
        <v>14</v>
      </c>
      <c r="W11" s="655">
        <f t="shared" si="2"/>
        <v>100</v>
      </c>
      <c r="X11" s="656"/>
      <c r="Y11" s="3232"/>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76"/>
      <c r="Q12" s="523">
        <f t="shared" si="6"/>
        <v>111</v>
      </c>
      <c r="R12" s="654" t="s">
        <v>14</v>
      </c>
      <c r="S12" s="655">
        <f t="shared" si="0"/>
        <v>100</v>
      </c>
      <c r="T12" s="654" t="s">
        <v>14</v>
      </c>
      <c r="U12" s="655">
        <f t="shared" si="1"/>
        <v>100</v>
      </c>
      <c r="V12" s="654" t="s">
        <v>14</v>
      </c>
      <c r="W12" s="655">
        <f t="shared" si="2"/>
        <v>100</v>
      </c>
      <c r="X12" s="656"/>
      <c r="Y12" s="3232"/>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76"/>
      <c r="Q13" s="523">
        <f t="shared" si="6"/>
        <v>111</v>
      </c>
      <c r="R13" s="654" t="s">
        <v>14</v>
      </c>
      <c r="S13" s="655">
        <f t="shared" si="0"/>
        <v>100</v>
      </c>
      <c r="T13" s="654" t="s">
        <v>14</v>
      </c>
      <c r="U13" s="655">
        <f t="shared" si="1"/>
        <v>100</v>
      </c>
      <c r="V13" s="654" t="s">
        <v>14</v>
      </c>
      <c r="W13" s="655">
        <f t="shared" si="2"/>
        <v>100</v>
      </c>
      <c r="X13" s="656"/>
      <c r="Y13" s="3232"/>
      <c r="Z13" s="50">
        <f t="shared" si="7"/>
        <v>111</v>
      </c>
      <c r="AA13" s="50">
        <f t="shared" si="3"/>
        <v>1</v>
      </c>
      <c r="AB13" s="50">
        <f t="shared" si="4"/>
        <v>1</v>
      </c>
      <c r="AC13" s="50">
        <f t="shared" si="5"/>
        <v>1</v>
      </c>
    </row>
    <row r="14" spans="1:29" ht="85.5">
      <c r="A14" s="372" t="s">
        <v>1690</v>
      </c>
      <c r="B14" s="58" t="s">
        <v>1833</v>
      </c>
      <c r="C14" s="1796" t="str">
        <f>IF(B1="工业",估价对象房地状况!G4,估价对象房地状况!C6)</f>
        <v>估价对象周边道路状况、公共交通通达情况、停车便捷程度，综合评价交通便捷度较好</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78" t="s">
        <v>1691</v>
      </c>
      <c r="Q14" s="1241" t="str">
        <f t="shared" si="6"/>
        <v>交通便捷度</v>
      </c>
      <c r="R14" s="657" t="s">
        <v>14</v>
      </c>
      <c r="S14" s="658">
        <f t="shared" si="0"/>
        <v>100</v>
      </c>
      <c r="T14" s="657" t="s">
        <v>14</v>
      </c>
      <c r="U14" s="658">
        <f t="shared" si="1"/>
        <v>100</v>
      </c>
      <c r="V14" s="657" t="s">
        <v>14</v>
      </c>
      <c r="W14" s="658">
        <f t="shared" si="2"/>
        <v>100</v>
      </c>
      <c r="X14" s="1243"/>
      <c r="Y14" s="3378"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79"/>
      <c r="Q15" s="1241"/>
      <c r="R15" s="657"/>
      <c r="S15" s="658"/>
      <c r="T15" s="657"/>
      <c r="U15" s="658"/>
      <c r="V15" s="657"/>
      <c r="W15" s="658"/>
      <c r="X15" s="1243"/>
      <c r="Y15" s="3379"/>
      <c r="Z15" s="1242"/>
      <c r="AA15" s="1242">
        <v>1</v>
      </c>
      <c r="AB15" s="1242">
        <v>1</v>
      </c>
      <c r="AC15" s="1242">
        <v>1</v>
      </c>
    </row>
    <row r="16" spans="1:29" ht="42.75">
      <c r="A16" s="360"/>
      <c r="B16" s="383" t="s">
        <v>1812</v>
      </c>
      <c r="C16" s="1731" t="str">
        <f>IF(B1="工业",估价对象房地状况!G5,估价对象房地状况!C7)</f>
        <v>估价对象所在区域公共配套设施齐备情况</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79"/>
      <c r="Q16" s="1241" t="str">
        <f>B16</f>
        <v>公共配套设施</v>
      </c>
      <c r="R16" s="657" t="s">
        <v>14</v>
      </c>
      <c r="S16" s="658">
        <f>F16</f>
        <v>100</v>
      </c>
      <c r="T16" s="657" t="s">
        <v>14</v>
      </c>
      <c r="U16" s="658">
        <f>H16</f>
        <v>100</v>
      </c>
      <c r="V16" s="657" t="s">
        <v>14</v>
      </c>
      <c r="W16" s="658">
        <f>J16</f>
        <v>100</v>
      </c>
      <c r="X16" s="1243"/>
      <c r="Y16" s="3379"/>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79"/>
      <c r="Q17" s="1241"/>
      <c r="R17" s="657"/>
      <c r="S17" s="658"/>
      <c r="T17" s="657"/>
      <c r="U17" s="658"/>
      <c r="V17" s="657"/>
      <c r="W17" s="658"/>
      <c r="X17" s="1243"/>
      <c r="Y17" s="3379"/>
      <c r="Z17" s="1242"/>
      <c r="AA17" s="1242">
        <v>1</v>
      </c>
      <c r="AB17" s="1242">
        <v>1</v>
      </c>
      <c r="AC17" s="1242">
        <v>1</v>
      </c>
    </row>
    <row r="18" spans="1:29" ht="28.5">
      <c r="A18" s="360"/>
      <c r="B18" s="579" t="s">
        <v>1813</v>
      </c>
      <c r="C18" s="1731" t="str">
        <f>IF(B1="工业",估价对象房地状况!G6,估价对象房地状况!C8)</f>
        <v>估价对象所在区域基础设施水平</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79"/>
      <c r="Q18" s="1241" t="str">
        <f>B18</f>
        <v>基础设施水平</v>
      </c>
      <c r="R18" s="657" t="s">
        <v>14</v>
      </c>
      <c r="S18" s="658">
        <f>F18</f>
        <v>100</v>
      </c>
      <c r="T18" s="657" t="s">
        <v>14</v>
      </c>
      <c r="U18" s="658">
        <f>H18</f>
        <v>100</v>
      </c>
      <c r="V18" s="657" t="s">
        <v>14</v>
      </c>
      <c r="W18" s="658">
        <f>J18</f>
        <v>100</v>
      </c>
      <c r="X18" s="1243"/>
      <c r="Y18" s="3379"/>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79"/>
      <c r="Q19" s="1241"/>
      <c r="R19" s="657"/>
      <c r="S19" s="658"/>
      <c r="T19" s="657"/>
      <c r="U19" s="658"/>
      <c r="V19" s="657"/>
      <c r="W19" s="658"/>
      <c r="X19" s="1243"/>
      <c r="Y19" s="3379"/>
      <c r="Z19" s="1242"/>
      <c r="AA19" s="1242">
        <v>1</v>
      </c>
      <c r="AB19" s="1242">
        <v>1</v>
      </c>
      <c r="AC19" s="1242">
        <v>1</v>
      </c>
    </row>
    <row r="20" spans="1:29" ht="57">
      <c r="A20" s="360"/>
      <c r="B20" s="383" t="s">
        <v>1834</v>
      </c>
      <c r="C20" s="1731" t="str">
        <f>IF(B1="工业",估价对象房地状况!G7,估价对象房地状况!C9)</f>
        <v>区域自然环境：；人文环境；综合评价环境状况一般</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79"/>
      <c r="Q20" s="1241" t="str">
        <f>B20</f>
        <v>自然及人文环境</v>
      </c>
      <c r="R20" s="657" t="s">
        <v>14</v>
      </c>
      <c r="S20" s="658">
        <f>F20</f>
        <v>100</v>
      </c>
      <c r="T20" s="657" t="s">
        <v>14</v>
      </c>
      <c r="U20" s="658">
        <f>H20</f>
        <v>100</v>
      </c>
      <c r="V20" s="657" t="s">
        <v>14</v>
      </c>
      <c r="W20" s="658">
        <f>J20</f>
        <v>100</v>
      </c>
      <c r="X20" s="1243"/>
      <c r="Y20" s="3379"/>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79"/>
      <c r="Q21" s="1241"/>
      <c r="R21" s="657"/>
      <c r="S21" s="658"/>
      <c r="T21" s="657"/>
      <c r="U21" s="658"/>
      <c r="V21" s="657"/>
      <c r="W21" s="658"/>
      <c r="X21" s="1243"/>
      <c r="Y21" s="3379"/>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79"/>
      <c r="Q22" s="1241" t="str">
        <f>B22</f>
        <v>楼层</v>
      </c>
      <c r="R22" s="657" t="s">
        <v>14</v>
      </c>
      <c r="S22" s="658">
        <f>F22</f>
        <v>100</v>
      </c>
      <c r="T22" s="657" t="s">
        <v>14</v>
      </c>
      <c r="U22" s="658">
        <f>H22</f>
        <v>100</v>
      </c>
      <c r="V22" s="657" t="s">
        <v>14</v>
      </c>
      <c r="W22" s="658">
        <f>J22</f>
        <v>100</v>
      </c>
      <c r="X22" s="1243"/>
      <c r="Y22" s="3379"/>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79"/>
      <c r="Q23" s="1241">
        <f>B23</f>
        <v>111</v>
      </c>
      <c r="R23" s="657" t="s">
        <v>14</v>
      </c>
      <c r="S23" s="658">
        <f>F23</f>
        <v>100</v>
      </c>
      <c r="T23" s="657" t="s">
        <v>14</v>
      </c>
      <c r="U23" s="658">
        <f>H23</f>
        <v>100</v>
      </c>
      <c r="V23" s="657" t="s">
        <v>14</v>
      </c>
      <c r="W23" s="658">
        <f>J23</f>
        <v>100</v>
      </c>
      <c r="X23" s="1243"/>
      <c r="Y23" s="3379"/>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79"/>
      <c r="Q24" s="1241">
        <f t="shared" ref="Q24:Q34" si="11">B24</f>
        <v>111</v>
      </c>
      <c r="R24" s="657" t="s">
        <v>14</v>
      </c>
      <c r="S24" s="658">
        <f>F24</f>
        <v>100</v>
      </c>
      <c r="T24" s="657" t="s">
        <v>14</v>
      </c>
      <c r="U24" s="658">
        <f>H24</f>
        <v>100</v>
      </c>
      <c r="V24" s="657" t="s">
        <v>14</v>
      </c>
      <c r="W24" s="658">
        <f>J24</f>
        <v>100</v>
      </c>
      <c r="X24" s="1243"/>
      <c r="Y24" s="3379"/>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79"/>
      <c r="Q25" s="523">
        <f t="shared" si="11"/>
        <v>111</v>
      </c>
      <c r="R25" s="654" t="s">
        <v>14</v>
      </c>
      <c r="S25" s="655">
        <f>F25</f>
        <v>100</v>
      </c>
      <c r="T25" s="654" t="s">
        <v>14</v>
      </c>
      <c r="U25" s="655">
        <f>H25</f>
        <v>100</v>
      </c>
      <c r="V25" s="654" t="s">
        <v>14</v>
      </c>
      <c r="W25" s="655">
        <f>J25</f>
        <v>100</v>
      </c>
      <c r="X25" s="656"/>
      <c r="Y25" s="3379"/>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33"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83"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83"/>
      <c r="Q27" s="524" t="str">
        <f t="shared" si="11"/>
        <v>成新率</v>
      </c>
      <c r="R27" s="659" t="s">
        <v>14</v>
      </c>
      <c r="S27" s="660" t="e">
        <f t="shared" si="12"/>
        <v>#N/A</v>
      </c>
      <c r="T27" s="659" t="s">
        <v>14</v>
      </c>
      <c r="U27" s="660" t="e">
        <f t="shared" si="13"/>
        <v>#N/A</v>
      </c>
      <c r="V27" s="659" t="s">
        <v>14</v>
      </c>
      <c r="W27" s="660" t="e">
        <f t="shared" si="14"/>
        <v>#N/A</v>
      </c>
      <c r="X27" s="661"/>
      <c r="Y27" s="3383"/>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83"/>
      <c r="Q28" s="1241" t="str">
        <f t="shared" si="11"/>
        <v>物业等级</v>
      </c>
      <c r="R28" s="657" t="s">
        <v>14</v>
      </c>
      <c r="S28" s="658">
        <f t="shared" si="12"/>
        <v>100</v>
      </c>
      <c r="T28" s="657" t="s">
        <v>14</v>
      </c>
      <c r="U28" s="658">
        <f t="shared" si="13"/>
        <v>100</v>
      </c>
      <c r="V28" s="657" t="s">
        <v>14</v>
      </c>
      <c r="W28" s="658">
        <f t="shared" si="14"/>
        <v>100</v>
      </c>
      <c r="X28" s="1243"/>
      <c r="Y28" s="3383"/>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83"/>
      <c r="Q29" s="1241" t="str">
        <f t="shared" si="11"/>
        <v>有无电梯</v>
      </c>
      <c r="R29" s="657" t="s">
        <v>14</v>
      </c>
      <c r="S29" s="658">
        <f t="shared" si="12"/>
        <v>100</v>
      </c>
      <c r="T29" s="657" t="s">
        <v>14</v>
      </c>
      <c r="U29" s="658">
        <f t="shared" si="13"/>
        <v>100</v>
      </c>
      <c r="V29" s="657" t="s">
        <v>14</v>
      </c>
      <c r="W29" s="658">
        <f t="shared" si="14"/>
        <v>100</v>
      </c>
      <c r="X29" s="1243"/>
      <c r="Y29" s="3383"/>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83"/>
      <c r="Q30" s="1241" t="str">
        <f t="shared" si="11"/>
        <v>建筑面积</v>
      </c>
      <c r="R30" s="657" t="s">
        <v>14</v>
      </c>
      <c r="S30" s="658" t="e">
        <f t="shared" si="12"/>
        <v>#N/A</v>
      </c>
      <c r="T30" s="657" t="s">
        <v>14</v>
      </c>
      <c r="U30" s="658" t="e">
        <f t="shared" si="13"/>
        <v>#N/A</v>
      </c>
      <c r="V30" s="657" t="s">
        <v>14</v>
      </c>
      <c r="W30" s="658" t="e">
        <f t="shared" si="14"/>
        <v>#N/A</v>
      </c>
      <c r="X30" s="1243"/>
      <c r="Y30" s="3383"/>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83"/>
      <c r="Q31" s="523" t="str">
        <f t="shared" si="11"/>
        <v>是否封闭</v>
      </c>
      <c r="R31" s="654" t="s">
        <v>14</v>
      </c>
      <c r="S31" s="655">
        <f t="shared" si="12"/>
        <v>100</v>
      </c>
      <c r="T31" s="654" t="s">
        <v>14</v>
      </c>
      <c r="U31" s="655">
        <f t="shared" si="13"/>
        <v>100</v>
      </c>
      <c r="V31" s="654" t="s">
        <v>14</v>
      </c>
      <c r="W31" s="655">
        <f t="shared" si="14"/>
        <v>100</v>
      </c>
      <c r="X31" s="656"/>
      <c r="Y31" s="3383"/>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83" t="s">
        <v>1696</v>
      </c>
      <c r="Q32" s="1241">
        <f t="shared" si="11"/>
        <v>111</v>
      </c>
      <c r="R32" s="657" t="s">
        <v>14</v>
      </c>
      <c r="S32" s="658">
        <f t="shared" si="12"/>
        <v>100</v>
      </c>
      <c r="T32" s="657" t="s">
        <v>14</v>
      </c>
      <c r="U32" s="658">
        <f t="shared" si="13"/>
        <v>100</v>
      </c>
      <c r="V32" s="657" t="s">
        <v>14</v>
      </c>
      <c r="W32" s="658">
        <f t="shared" si="14"/>
        <v>100</v>
      </c>
      <c r="X32" s="1243"/>
      <c r="Y32" s="3383"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83"/>
      <c r="Q33" s="1241">
        <f t="shared" si="11"/>
        <v>111</v>
      </c>
      <c r="R33" s="657" t="s">
        <v>14</v>
      </c>
      <c r="S33" s="658">
        <f t="shared" si="12"/>
        <v>100</v>
      </c>
      <c r="T33" s="657" t="s">
        <v>14</v>
      </c>
      <c r="U33" s="658">
        <f t="shared" si="13"/>
        <v>100</v>
      </c>
      <c r="V33" s="657" t="s">
        <v>14</v>
      </c>
      <c r="W33" s="658">
        <f t="shared" si="14"/>
        <v>100</v>
      </c>
      <c r="X33" s="1243"/>
      <c r="Y33" s="3383"/>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83"/>
      <c r="Q34" s="1241">
        <f t="shared" si="11"/>
        <v>111</v>
      </c>
      <c r="R34" s="657" t="s">
        <v>14</v>
      </c>
      <c r="S34" s="658">
        <f t="shared" si="12"/>
        <v>100</v>
      </c>
      <c r="T34" s="657" t="s">
        <v>14</v>
      </c>
      <c r="U34" s="658">
        <f t="shared" si="13"/>
        <v>100</v>
      </c>
      <c r="V34" s="657" t="s">
        <v>14</v>
      </c>
      <c r="W34" s="658">
        <f t="shared" si="14"/>
        <v>100</v>
      </c>
      <c r="X34" s="1243"/>
      <c r="Y34" s="3383"/>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376" t="str">
        <f>A35</f>
        <v>成交单价（元/平方米）</v>
      </c>
      <c r="Q35" s="3376"/>
      <c r="R35" s="3377">
        <f>E35</f>
        <v>0</v>
      </c>
      <c r="S35" s="3377"/>
      <c r="T35" s="3377">
        <f>G35</f>
        <v>0</v>
      </c>
      <c r="U35" s="3377"/>
      <c r="V35" s="3377">
        <f>I35</f>
        <v>0</v>
      </c>
      <c r="W35" s="3377"/>
      <c r="X35" s="378"/>
      <c r="Y35" s="663"/>
      <c r="Z35" s="378"/>
      <c r="AA35" s="378"/>
      <c r="AB35" s="378"/>
      <c r="AC35" s="378"/>
    </row>
    <row r="36" spans="1:30" ht="15.75" thickBot="1">
      <c r="A36" s="416" t="s">
        <v>1793</v>
      </c>
      <c r="B36" s="417"/>
      <c r="C36" s="1060" t="e">
        <f>R37</f>
        <v>#DIV/0!</v>
      </c>
      <c r="D36" s="2118" t="s">
        <v>2138</v>
      </c>
      <c r="E36" s="1061" t="e">
        <f>R36</f>
        <v>#DIV/0!</v>
      </c>
      <c r="F36" s="2119"/>
      <c r="G36" s="1060" t="e">
        <f>T36</f>
        <v>#DIV/0!</v>
      </c>
      <c r="H36" s="2119"/>
      <c r="I36" s="1061" t="e">
        <f>V36</f>
        <v>#DIV/0!</v>
      </c>
      <c r="J36" s="2119"/>
      <c r="K36" s="2121">
        <f>F36+H36+J36</f>
        <v>0</v>
      </c>
      <c r="L36" s="2469"/>
      <c r="M36" s="2462"/>
      <c r="N36" s="2462"/>
      <c r="O36" s="2462"/>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373" t="str">
        <f>A37</f>
        <v>估价对象XX用房的比较价值（楼面单价，元/平方米）</v>
      </c>
      <c r="Q37" s="3374"/>
      <c r="R37" s="3434" t="e">
        <f>IF(F1="售价",ROUND(IF(D36="简单平均",AVERAGE(R36:W36),R36*F36+T36*H36+V36*J36),0),ROUND(IF(D36="简单平均",AVERAGE(R36:V36),R36*F36+T36*H36+V36*J36),1))</f>
        <v>#DIV/0!</v>
      </c>
      <c r="S37" s="3434"/>
      <c r="T37" s="3434"/>
      <c r="U37" s="3434"/>
      <c r="V37" s="3434"/>
      <c r="W37" s="3434"/>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2025-2</v>
      </c>
      <c r="D46" s="1082">
        <f>EDATE(C46,-1)</f>
        <v>45658</v>
      </c>
      <c r="E46" s="1082">
        <f t="shared" ref="E46:O46" si="16">EDATE(D46,-1)</f>
        <v>45627</v>
      </c>
      <c r="F46" s="1082">
        <f t="shared" si="16"/>
        <v>45597</v>
      </c>
      <c r="G46" s="1082">
        <f t="shared" si="16"/>
        <v>45566</v>
      </c>
      <c r="H46" s="1082">
        <f t="shared" si="16"/>
        <v>45536</v>
      </c>
      <c r="I46" s="1082">
        <f t="shared" si="16"/>
        <v>45505</v>
      </c>
      <c r="J46" s="1082">
        <f t="shared" si="16"/>
        <v>45474</v>
      </c>
      <c r="K46" s="1082">
        <f t="shared" si="16"/>
        <v>45444</v>
      </c>
      <c r="L46" s="1082">
        <f t="shared" si="16"/>
        <v>45413</v>
      </c>
      <c r="M46" s="1082">
        <f t="shared" si="16"/>
        <v>45383</v>
      </c>
      <c r="N46" s="1082">
        <f t="shared" si="16"/>
        <v>45352</v>
      </c>
      <c r="O46" s="1082">
        <f t="shared" si="16"/>
        <v>45323</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401" t="s">
        <v>1771</v>
      </c>
      <c r="S4" s="3402"/>
      <c r="T4" s="3401" t="s">
        <v>1772</v>
      </c>
      <c r="U4" s="3402"/>
      <c r="V4" s="3377" t="s">
        <v>1773</v>
      </c>
      <c r="W4" s="3377"/>
      <c r="X4" s="1243"/>
      <c r="Y4" s="3401" t="s">
        <v>1775</v>
      </c>
      <c r="Z4" s="3402"/>
      <c r="AA4" s="3388" t="s">
        <v>1771</v>
      </c>
      <c r="AB4" s="3389" t="s">
        <v>1772</v>
      </c>
      <c r="AC4" s="3388" t="s">
        <v>1773</v>
      </c>
    </row>
    <row r="5" spans="1:29" ht="15">
      <c r="A5" s="341"/>
      <c r="B5" s="342"/>
      <c r="C5" s="3409" t="s">
        <v>1673</v>
      </c>
      <c r="D5" s="3410"/>
      <c r="E5" s="3416" t="s">
        <v>1674</v>
      </c>
      <c r="F5" s="3417"/>
      <c r="G5" s="3409" t="s">
        <v>1675</v>
      </c>
      <c r="H5" s="3410"/>
      <c r="I5" s="3409" t="s">
        <v>1676</v>
      </c>
      <c r="J5" s="3410"/>
      <c r="K5" s="530"/>
      <c r="L5" s="2461"/>
      <c r="M5" s="2462"/>
      <c r="N5" s="2462"/>
      <c r="O5" s="2462"/>
      <c r="P5" s="3397"/>
      <c r="Q5" s="3398"/>
      <c r="R5" s="3403"/>
      <c r="S5" s="3404"/>
      <c r="T5" s="3403"/>
      <c r="U5" s="3404"/>
      <c r="V5" s="3377"/>
      <c r="W5" s="3377"/>
      <c r="X5" s="1243"/>
      <c r="Y5" s="3403"/>
      <c r="Z5" s="3404"/>
      <c r="AA5" s="3389"/>
      <c r="AB5" s="3389"/>
      <c r="AC5" s="3389"/>
    </row>
    <row r="6" spans="1:29" ht="15.75" thickBot="1">
      <c r="A6" s="343"/>
      <c r="B6" s="344"/>
      <c r="C6" s="3407" t="s">
        <v>1677</v>
      </c>
      <c r="D6" s="3408"/>
      <c r="E6" s="3414" t="s">
        <v>1677</v>
      </c>
      <c r="F6" s="3415"/>
      <c r="G6" s="3407" t="s">
        <v>1677</v>
      </c>
      <c r="H6" s="3408"/>
      <c r="I6" s="3407" t="s">
        <v>1677</v>
      </c>
      <c r="J6" s="3408"/>
      <c r="K6" s="530" t="s">
        <v>1678</v>
      </c>
      <c r="L6" s="2461"/>
      <c r="M6" s="2462"/>
      <c r="N6" s="2462"/>
      <c r="O6" s="2462"/>
      <c r="P6" s="3399"/>
      <c r="Q6" s="3400"/>
      <c r="R6" s="3403"/>
      <c r="S6" s="3404"/>
      <c r="T6" s="3405"/>
      <c r="U6" s="3406"/>
      <c r="V6" s="3377"/>
      <c r="W6" s="3377"/>
      <c r="X6" s="1243"/>
      <c r="Y6" s="3405"/>
      <c r="Z6" s="3406"/>
      <c r="AA6" s="3390"/>
      <c r="AB6" s="3390"/>
      <c r="AC6" s="3390"/>
    </row>
    <row r="7" spans="1:29" s="101" customFormat="1" ht="15.75" thickBot="1">
      <c r="A7" s="345" t="s">
        <v>1679</v>
      </c>
      <c r="B7" s="346"/>
      <c r="C7" s="347">
        <f>'数据-取费表'!B2</f>
        <v>45695</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411" t="s">
        <v>1680</v>
      </c>
      <c r="Q7" s="3413"/>
      <c r="R7" s="654" t="s">
        <v>14</v>
      </c>
      <c r="S7" s="655">
        <f t="shared" ref="S7:S15" si="0">F7</f>
        <v>0</v>
      </c>
      <c r="T7" s="654" t="s">
        <v>14</v>
      </c>
      <c r="U7" s="655">
        <f t="shared" ref="U7:U15" si="1">H7</f>
        <v>0</v>
      </c>
      <c r="V7" s="654" t="s">
        <v>14</v>
      </c>
      <c r="W7" s="655">
        <f t="shared" ref="W7:W15" si="2">J7</f>
        <v>0</v>
      </c>
      <c r="X7" s="656"/>
      <c r="Y7" s="3411" t="s">
        <v>1680</v>
      </c>
      <c r="Z7" s="3412"/>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411" t="s">
        <v>1683</v>
      </c>
      <c r="Q8" s="3412"/>
      <c r="R8" s="654" t="s">
        <v>14</v>
      </c>
      <c r="S8" s="655">
        <f t="shared" si="0"/>
        <v>0</v>
      </c>
      <c r="T8" s="654" t="s">
        <v>14</v>
      </c>
      <c r="U8" s="655">
        <f t="shared" si="1"/>
        <v>0</v>
      </c>
      <c r="V8" s="654" t="s">
        <v>14</v>
      </c>
      <c r="W8" s="655">
        <f t="shared" si="2"/>
        <v>0</v>
      </c>
      <c r="X8" s="656"/>
      <c r="Y8" s="3411" t="s">
        <v>1683</v>
      </c>
      <c r="Z8" s="3412"/>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76" t="s">
        <v>1686</v>
      </c>
      <c r="Q9" s="523" t="str">
        <f t="shared" ref="Q9:Q15" si="6">B9</f>
        <v>用途</v>
      </c>
      <c r="R9" s="654" t="s">
        <v>14</v>
      </c>
      <c r="S9" s="655">
        <f t="shared" si="0"/>
        <v>100</v>
      </c>
      <c r="T9" s="654" t="s">
        <v>14</v>
      </c>
      <c r="U9" s="655">
        <f t="shared" si="1"/>
        <v>100</v>
      </c>
      <c r="V9" s="654" t="s">
        <v>14</v>
      </c>
      <c r="W9" s="655">
        <f t="shared" si="2"/>
        <v>100</v>
      </c>
      <c r="X9" s="656"/>
      <c r="Y9" s="3232"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117</v>
      </c>
      <c r="G10" s="395"/>
      <c r="H10" s="113">
        <f>ROUND(100/'数据-取费表'!G16,0)</f>
        <v>117</v>
      </c>
      <c r="I10" s="395"/>
      <c r="J10" s="113">
        <f>ROUND(100/'数据-取费表'!G16,0)</f>
        <v>117</v>
      </c>
      <c r="K10" s="585"/>
      <c r="L10" s="2464"/>
      <c r="M10" s="2465"/>
      <c r="N10" s="2465"/>
      <c r="O10" s="2516"/>
      <c r="P10" s="3376"/>
      <c r="Q10" s="523" t="str">
        <f t="shared" si="6"/>
        <v>土地使用年限（年）</v>
      </c>
      <c r="R10" s="654" t="s">
        <v>14</v>
      </c>
      <c r="S10" s="655">
        <f t="shared" si="0"/>
        <v>117</v>
      </c>
      <c r="T10" s="654" t="s">
        <v>14</v>
      </c>
      <c r="U10" s="655">
        <f t="shared" si="1"/>
        <v>117</v>
      </c>
      <c r="V10" s="654" t="s">
        <v>14</v>
      </c>
      <c r="W10" s="655">
        <f t="shared" si="2"/>
        <v>117</v>
      </c>
      <c r="X10" s="656"/>
      <c r="Y10" s="3232"/>
      <c r="Z10" s="50" t="str">
        <f t="shared" si="7"/>
        <v>土地使用年限（年）</v>
      </c>
      <c r="AA10" s="50">
        <f t="shared" si="3"/>
        <v>0.85470085470085466</v>
      </c>
      <c r="AB10" s="50">
        <f t="shared" si="4"/>
        <v>0.85470085470085466</v>
      </c>
      <c r="AC10" s="50">
        <f t="shared" si="5"/>
        <v>0.85470085470085466</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76"/>
      <c r="Q11" s="523" t="str">
        <f t="shared" si="6"/>
        <v>容积率</v>
      </c>
      <c r="R11" s="654" t="s">
        <v>14</v>
      </c>
      <c r="S11" s="655" t="e">
        <f t="shared" si="0"/>
        <v>#N/A</v>
      </c>
      <c r="T11" s="654" t="s">
        <v>14</v>
      </c>
      <c r="U11" s="655" t="e">
        <f t="shared" si="1"/>
        <v>#N/A</v>
      </c>
      <c r="V11" s="654" t="s">
        <v>14</v>
      </c>
      <c r="W11" s="655" t="e">
        <f t="shared" si="2"/>
        <v>#N/A</v>
      </c>
      <c r="X11" s="656"/>
      <c r="Y11" s="3232"/>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76"/>
      <c r="Q12" s="523" t="str">
        <f t="shared" si="6"/>
        <v>配建</v>
      </c>
      <c r="R12" s="654" t="s">
        <v>14</v>
      </c>
      <c r="S12" s="655">
        <f t="shared" si="0"/>
        <v>100</v>
      </c>
      <c r="T12" s="654" t="s">
        <v>14</v>
      </c>
      <c r="U12" s="655">
        <f t="shared" si="1"/>
        <v>100</v>
      </c>
      <c r="V12" s="654" t="s">
        <v>14</v>
      </c>
      <c r="W12" s="655">
        <f t="shared" si="2"/>
        <v>100</v>
      </c>
      <c r="X12" s="656"/>
      <c r="Y12" s="3232"/>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76"/>
      <c r="Q13" s="523">
        <f t="shared" si="6"/>
        <v>111</v>
      </c>
      <c r="R13" s="654" t="s">
        <v>14</v>
      </c>
      <c r="S13" s="655">
        <f t="shared" si="0"/>
        <v>100</v>
      </c>
      <c r="T13" s="654" t="s">
        <v>14</v>
      </c>
      <c r="U13" s="655">
        <f t="shared" si="1"/>
        <v>100</v>
      </c>
      <c r="V13" s="654" t="s">
        <v>14</v>
      </c>
      <c r="W13" s="655">
        <f t="shared" si="2"/>
        <v>100</v>
      </c>
      <c r="X13" s="656"/>
      <c r="Y13" s="3232"/>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76"/>
      <c r="Q14" s="523">
        <f t="shared" si="6"/>
        <v>111</v>
      </c>
      <c r="R14" s="654" t="s">
        <v>14</v>
      </c>
      <c r="S14" s="655">
        <f t="shared" si="0"/>
        <v>100</v>
      </c>
      <c r="T14" s="654" t="s">
        <v>14</v>
      </c>
      <c r="U14" s="655">
        <f t="shared" si="1"/>
        <v>100</v>
      </c>
      <c r="V14" s="654" t="s">
        <v>14</v>
      </c>
      <c r="W14" s="655">
        <f t="shared" si="2"/>
        <v>100</v>
      </c>
      <c r="X14" s="656"/>
      <c r="Y14" s="3232"/>
      <c r="Z14" s="50">
        <f t="shared" si="7"/>
        <v>111</v>
      </c>
      <c r="AA14" s="50">
        <f>D14/F14</f>
        <v>1</v>
      </c>
      <c r="AB14" s="50">
        <f>D14/H14</f>
        <v>1</v>
      </c>
      <c r="AC14" s="50">
        <f>D14/J14</f>
        <v>1</v>
      </c>
    </row>
    <row r="15" spans="1:29" ht="99.75">
      <c r="A15" s="372" t="s">
        <v>1690</v>
      </c>
      <c r="B15" s="58" t="s">
        <v>1257</v>
      </c>
      <c r="C15" s="1727" t="str">
        <f>估价对象房地状况!C15</f>
        <v>估价对象周边居住用地比例、居住小区规模和社区发展完善程度，综合评价居住社区成熟度一般</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78" t="s">
        <v>1691</v>
      </c>
      <c r="Q15" s="1241" t="str">
        <f t="shared" si="6"/>
        <v>居住社区成熟度</v>
      </c>
      <c r="R15" s="657" t="s">
        <v>14</v>
      </c>
      <c r="S15" s="658">
        <f t="shared" si="0"/>
        <v>100</v>
      </c>
      <c r="T15" s="657" t="s">
        <v>14</v>
      </c>
      <c r="U15" s="658">
        <f t="shared" si="1"/>
        <v>100</v>
      </c>
      <c r="V15" s="657" t="s">
        <v>14</v>
      </c>
      <c r="W15" s="658">
        <f t="shared" si="2"/>
        <v>100</v>
      </c>
      <c r="X15" s="1243"/>
      <c r="Y15" s="3378"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79"/>
      <c r="Q16" s="1241"/>
      <c r="R16" s="657"/>
      <c r="S16" s="658"/>
      <c r="T16" s="657"/>
      <c r="U16" s="658"/>
      <c r="V16" s="657"/>
      <c r="W16" s="658"/>
      <c r="X16" s="1243"/>
      <c r="Y16" s="3379"/>
      <c r="Z16" s="1242"/>
      <c r="AA16" s="1242">
        <v>1</v>
      </c>
      <c r="AB16" s="1242">
        <v>1</v>
      </c>
      <c r="AC16" s="1242">
        <v>1</v>
      </c>
    </row>
    <row r="17" spans="1:29" ht="71.25">
      <c r="A17" s="360"/>
      <c r="B17" s="383" t="s">
        <v>1777</v>
      </c>
      <c r="C17" s="1783" t="str">
        <f>估价对象房地状况!C16</f>
        <v>估价对象位于XX商圈，周边商业氛围成熟，人流量大，商业繁华度好</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79"/>
      <c r="Q17" s="1241" t="str">
        <f>B17</f>
        <v>商业繁华度</v>
      </c>
      <c r="R17" s="657" t="s">
        <v>14</v>
      </c>
      <c r="S17" s="658">
        <f>F17</f>
        <v>100</v>
      </c>
      <c r="T17" s="657" t="s">
        <v>14</v>
      </c>
      <c r="U17" s="658">
        <f>H17</f>
        <v>100</v>
      </c>
      <c r="V17" s="657" t="s">
        <v>14</v>
      </c>
      <c r="W17" s="658">
        <f>J17</f>
        <v>100</v>
      </c>
      <c r="X17" s="1243"/>
      <c r="Y17" s="3379"/>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79"/>
      <c r="Q18" s="1241"/>
      <c r="R18" s="657"/>
      <c r="S18" s="658"/>
      <c r="T18" s="657"/>
      <c r="U18" s="658"/>
      <c r="V18" s="657"/>
      <c r="W18" s="658"/>
      <c r="X18" s="1243"/>
      <c r="Y18" s="3379"/>
      <c r="Z18" s="1242"/>
      <c r="AA18" s="1242">
        <v>1</v>
      </c>
      <c r="AB18" s="1242">
        <v>1</v>
      </c>
      <c r="AC18" s="1242">
        <v>1</v>
      </c>
    </row>
    <row r="19" spans="1:29" ht="71.25">
      <c r="A19" s="360"/>
      <c r="B19" s="383" t="s">
        <v>1811</v>
      </c>
      <c r="C19" s="1783" t="str">
        <f>估价对象房地状况!C17</f>
        <v>估价对象位于XX商圈，周边办公楼项目较多，入驻率高，办公集聚程度较好</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79"/>
      <c r="Q19" s="1241" t="str">
        <f>B19</f>
        <v>办公集聚程度</v>
      </c>
      <c r="R19" s="657" t="s">
        <v>14</v>
      </c>
      <c r="S19" s="658">
        <f>F19</f>
        <v>100</v>
      </c>
      <c r="T19" s="657" t="s">
        <v>14</v>
      </c>
      <c r="U19" s="658">
        <f>H19</f>
        <v>100</v>
      </c>
      <c r="V19" s="657" t="s">
        <v>14</v>
      </c>
      <c r="W19" s="658">
        <f>J19</f>
        <v>100</v>
      </c>
      <c r="X19" s="1243"/>
      <c r="Y19" s="3379"/>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79"/>
      <c r="Q20" s="1241"/>
      <c r="R20" s="657"/>
      <c r="S20" s="658"/>
      <c r="T20" s="657"/>
      <c r="U20" s="658"/>
      <c r="V20" s="657"/>
      <c r="W20" s="658"/>
      <c r="X20" s="1243"/>
      <c r="Y20" s="3379"/>
      <c r="Z20" s="1242"/>
      <c r="AA20" s="1242">
        <v>1</v>
      </c>
      <c r="AB20" s="1242">
        <v>1</v>
      </c>
      <c r="AC20" s="1242">
        <v>1</v>
      </c>
    </row>
    <row r="21" spans="1:29" ht="85.5">
      <c r="A21" s="360"/>
      <c r="B21" s="383" t="s">
        <v>1833</v>
      </c>
      <c r="C21" s="1731" t="str">
        <f>估价对象房地状况!C18</f>
        <v>估价对象周边道路状况、公共交通通达情况、停车便捷程度，综合评价交通便捷度较好</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79"/>
      <c r="Q21" s="1241" t="str">
        <f>B21</f>
        <v>交通便捷度</v>
      </c>
      <c r="R21" s="657" t="s">
        <v>14</v>
      </c>
      <c r="S21" s="658">
        <f>F21</f>
        <v>100</v>
      </c>
      <c r="T21" s="657" t="s">
        <v>14</v>
      </c>
      <c r="U21" s="658">
        <f>H21</f>
        <v>100</v>
      </c>
      <c r="V21" s="657" t="s">
        <v>14</v>
      </c>
      <c r="W21" s="658">
        <f>J21</f>
        <v>100</v>
      </c>
      <c r="X21" s="1243"/>
      <c r="Y21" s="3379"/>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79"/>
      <c r="Q22" s="1241"/>
      <c r="R22" s="657"/>
      <c r="S22" s="658"/>
      <c r="T22" s="657"/>
      <c r="U22" s="658"/>
      <c r="V22" s="657"/>
      <c r="W22" s="658"/>
      <c r="X22" s="1243"/>
      <c r="Y22" s="3379"/>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79"/>
      <c r="Q23" s="1241" t="str">
        <f t="shared" ref="Q23:Q37" si="8">B23</f>
        <v>区域土地利用方向</v>
      </c>
      <c r="R23" s="657" t="s">
        <v>14</v>
      </c>
      <c r="S23" s="658">
        <f>F23</f>
        <v>100</v>
      </c>
      <c r="T23" s="657" t="s">
        <v>14</v>
      </c>
      <c r="U23" s="658">
        <f>H23</f>
        <v>100</v>
      </c>
      <c r="V23" s="657" t="s">
        <v>14</v>
      </c>
      <c r="W23" s="658">
        <f>J23</f>
        <v>100</v>
      </c>
      <c r="X23" s="1243"/>
      <c r="Y23" s="3379"/>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79"/>
      <c r="Q24" s="1241"/>
      <c r="R24" s="657"/>
      <c r="S24" s="658"/>
      <c r="T24" s="657"/>
      <c r="U24" s="658"/>
      <c r="V24" s="657"/>
      <c r="W24" s="658"/>
      <c r="X24" s="1243"/>
      <c r="Y24" s="3379"/>
      <c r="Z24" s="1242"/>
      <c r="AA24" s="1242"/>
      <c r="AB24" s="1242"/>
      <c r="AC24" s="1242"/>
    </row>
    <row r="25" spans="1:29" ht="57">
      <c r="A25" s="341"/>
      <c r="B25" s="579" t="s">
        <v>1872</v>
      </c>
      <c r="C25" s="1783" t="str">
        <f>估价对象房地状况!C20</f>
        <v>区域自然环境：；人文环境；综合评价环境状况一般</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79"/>
      <c r="Q25" s="1241" t="str">
        <f t="shared" si="8"/>
        <v>自然及人文环境状况</v>
      </c>
      <c r="R25" s="657" t="s">
        <v>14</v>
      </c>
      <c r="S25" s="658">
        <f>F25</f>
        <v>100</v>
      </c>
      <c r="T25" s="657" t="s">
        <v>14</v>
      </c>
      <c r="U25" s="658">
        <f>H25</f>
        <v>100</v>
      </c>
      <c r="V25" s="657" t="s">
        <v>14</v>
      </c>
      <c r="W25" s="658">
        <f>J25</f>
        <v>100</v>
      </c>
      <c r="X25" s="1243"/>
      <c r="Y25" s="3379"/>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79"/>
      <c r="Q26" s="1241"/>
      <c r="R26" s="657"/>
      <c r="S26" s="658"/>
      <c r="T26" s="657"/>
      <c r="U26" s="658"/>
      <c r="V26" s="657"/>
      <c r="W26" s="658"/>
      <c r="X26" s="1243"/>
      <c r="Y26" s="3379"/>
      <c r="Z26" s="1242"/>
      <c r="AA26" s="1242">
        <v>1</v>
      </c>
      <c r="AB26" s="1242">
        <v>1</v>
      </c>
      <c r="AC26" s="1242">
        <v>1</v>
      </c>
    </row>
    <row r="27" spans="1:29" s="101" customFormat="1" ht="42.75">
      <c r="A27" s="436"/>
      <c r="B27" s="579" t="s">
        <v>1778</v>
      </c>
      <c r="C27" s="1731" t="str">
        <f>估价对象房地状况!C21</f>
        <v>估价对象所在区域公共配套设施齐备情况</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79"/>
      <c r="Q27" s="523" t="str">
        <f t="shared" si="8"/>
        <v>公共配套设施</v>
      </c>
      <c r="R27" s="654" t="s">
        <v>14</v>
      </c>
      <c r="S27" s="655">
        <f>F27</f>
        <v>100</v>
      </c>
      <c r="T27" s="654" t="s">
        <v>14</v>
      </c>
      <c r="U27" s="655">
        <f>H27</f>
        <v>100</v>
      </c>
      <c r="V27" s="654" t="s">
        <v>14</v>
      </c>
      <c r="W27" s="655">
        <f>J27</f>
        <v>100</v>
      </c>
      <c r="X27" s="656"/>
      <c r="Y27" s="3379"/>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79"/>
      <c r="Q28" s="523"/>
      <c r="R28" s="654"/>
      <c r="S28" s="655"/>
      <c r="T28" s="654"/>
      <c r="U28" s="655"/>
      <c r="V28" s="654"/>
      <c r="W28" s="655"/>
      <c r="X28" s="656"/>
      <c r="Y28" s="3379"/>
      <c r="Z28" s="50"/>
      <c r="AA28" s="1242">
        <v>1</v>
      </c>
      <c r="AB28" s="1242">
        <v>1</v>
      </c>
      <c r="AC28" s="1242">
        <v>1</v>
      </c>
    </row>
    <row r="29" spans="1:29" s="101" customFormat="1" ht="28.5">
      <c r="A29" s="436"/>
      <c r="B29" s="579" t="s">
        <v>1779</v>
      </c>
      <c r="C29" s="1731" t="str">
        <f>估价对象房地状况!C22</f>
        <v>估价对象所在区域基础设施水平</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79"/>
      <c r="Q29" s="523" t="str">
        <f t="shared" ref="Q29" si="9">B29</f>
        <v>基础设施水平</v>
      </c>
      <c r="R29" s="654" t="s">
        <v>14</v>
      </c>
      <c r="S29" s="655">
        <f>F29</f>
        <v>100</v>
      </c>
      <c r="T29" s="654" t="s">
        <v>14</v>
      </c>
      <c r="U29" s="655">
        <f>H29</f>
        <v>100</v>
      </c>
      <c r="V29" s="654" t="s">
        <v>14</v>
      </c>
      <c r="W29" s="655">
        <f>J29</f>
        <v>100</v>
      </c>
      <c r="X29" s="656"/>
      <c r="Y29" s="3379"/>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79"/>
      <c r="Q30" s="523"/>
      <c r="R30" s="654"/>
      <c r="S30" s="655"/>
      <c r="T30" s="654"/>
      <c r="U30" s="655"/>
      <c r="V30" s="654"/>
      <c r="W30" s="655"/>
      <c r="X30" s="656"/>
      <c r="Y30" s="3379"/>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79"/>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79"/>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79"/>
      <c r="Q32" s="1241" t="str">
        <f t="shared" si="8"/>
        <v>毗邻道路的类型与等级</v>
      </c>
      <c r="R32" s="657" t="s">
        <v>14</v>
      </c>
      <c r="S32" s="658">
        <f t="shared" si="10"/>
        <v>100</v>
      </c>
      <c r="T32" s="657" t="s">
        <v>14</v>
      </c>
      <c r="U32" s="658">
        <f t="shared" si="11"/>
        <v>100</v>
      </c>
      <c r="V32" s="657" t="s">
        <v>14</v>
      </c>
      <c r="W32" s="658">
        <f t="shared" si="12"/>
        <v>100</v>
      </c>
      <c r="X32" s="1243"/>
      <c r="Y32" s="3379"/>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79"/>
      <c r="Q33" s="1241"/>
      <c r="R33" s="657"/>
      <c r="S33" s="658"/>
      <c r="T33" s="657"/>
      <c r="U33" s="658"/>
      <c r="V33" s="657"/>
      <c r="W33" s="658"/>
      <c r="X33" s="1243"/>
      <c r="Y33" s="3379"/>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79"/>
      <c r="Q34" s="1241" t="str">
        <f t="shared" si="8"/>
        <v>土地级别</v>
      </c>
      <c r="R34" s="657" t="s">
        <v>14</v>
      </c>
      <c r="S34" s="658">
        <f t="shared" si="10"/>
        <v>100</v>
      </c>
      <c r="T34" s="657" t="s">
        <v>14</v>
      </c>
      <c r="U34" s="658">
        <f t="shared" si="11"/>
        <v>100</v>
      </c>
      <c r="V34" s="657" t="s">
        <v>14</v>
      </c>
      <c r="W34" s="658">
        <f t="shared" si="12"/>
        <v>100</v>
      </c>
      <c r="X34" s="1243"/>
      <c r="Y34" s="3379"/>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79"/>
      <c r="Q35" s="1241">
        <f t="shared" si="8"/>
        <v>111</v>
      </c>
      <c r="R35" s="657" t="s">
        <v>14</v>
      </c>
      <c r="S35" s="658">
        <f t="shared" si="10"/>
        <v>100</v>
      </c>
      <c r="T35" s="657" t="s">
        <v>14</v>
      </c>
      <c r="U35" s="658">
        <f t="shared" si="11"/>
        <v>100</v>
      </c>
      <c r="V35" s="657" t="s">
        <v>14</v>
      </c>
      <c r="W35" s="658">
        <f t="shared" si="12"/>
        <v>100</v>
      </c>
      <c r="X35" s="1243"/>
      <c r="Y35" s="3379"/>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33" t="s">
        <v>1696</v>
      </c>
      <c r="Q36" s="1241">
        <f t="shared" si="8"/>
        <v>111</v>
      </c>
      <c r="R36" s="657" t="s">
        <v>14</v>
      </c>
      <c r="S36" s="658">
        <f t="shared" si="10"/>
        <v>100</v>
      </c>
      <c r="T36" s="657" t="s">
        <v>14</v>
      </c>
      <c r="U36" s="658">
        <f t="shared" si="11"/>
        <v>100</v>
      </c>
      <c r="V36" s="657" t="s">
        <v>14</v>
      </c>
      <c r="W36" s="658">
        <f t="shared" si="12"/>
        <v>100</v>
      </c>
      <c r="X36" s="1243"/>
      <c r="Y36" s="3383"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83"/>
      <c r="Q37" s="1241">
        <f t="shared" si="8"/>
        <v>111</v>
      </c>
      <c r="R37" s="659" t="s">
        <v>14</v>
      </c>
      <c r="S37" s="660">
        <f t="shared" si="10"/>
        <v>100</v>
      </c>
      <c r="T37" s="659" t="s">
        <v>14</v>
      </c>
      <c r="U37" s="660">
        <f t="shared" si="11"/>
        <v>100</v>
      </c>
      <c r="V37" s="659" t="s">
        <v>14</v>
      </c>
      <c r="W37" s="660">
        <f t="shared" si="12"/>
        <v>100</v>
      </c>
      <c r="X37" s="661"/>
      <c r="Y37" s="3383"/>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83"/>
      <c r="Q38" s="1241" t="str">
        <f>B38</f>
        <v>宗地面积</v>
      </c>
      <c r="R38" s="657" t="s">
        <v>14</v>
      </c>
      <c r="S38" s="658" t="e">
        <f t="shared" si="10"/>
        <v>#N/A</v>
      </c>
      <c r="T38" s="657" t="s">
        <v>14</v>
      </c>
      <c r="U38" s="658" t="e">
        <f t="shared" si="11"/>
        <v>#N/A</v>
      </c>
      <c r="V38" s="657" t="s">
        <v>14</v>
      </c>
      <c r="W38" s="658" t="e">
        <f t="shared" si="12"/>
        <v>#N/A</v>
      </c>
      <c r="X38" s="1243"/>
      <c r="Y38" s="3383"/>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83"/>
      <c r="Q39" s="1241" t="str">
        <f t="shared" ref="Q39:Q45" si="14">B39</f>
        <v>宗地形状</v>
      </c>
      <c r="R39" s="657" t="s">
        <v>14</v>
      </c>
      <c r="S39" s="658">
        <f t="shared" si="10"/>
        <v>100</v>
      </c>
      <c r="T39" s="657" t="s">
        <v>14</v>
      </c>
      <c r="U39" s="658">
        <f t="shared" si="11"/>
        <v>100</v>
      </c>
      <c r="V39" s="657" t="s">
        <v>14</v>
      </c>
      <c r="W39" s="658">
        <f t="shared" si="12"/>
        <v>100</v>
      </c>
      <c r="X39" s="1243"/>
      <c r="Y39" s="3383"/>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83"/>
      <c r="Q40" s="1241" t="str">
        <f t="shared" si="14"/>
        <v>临街宽度及深度</v>
      </c>
      <c r="R40" s="657" t="s">
        <v>14</v>
      </c>
      <c r="S40" s="658">
        <f t="shared" si="10"/>
        <v>100</v>
      </c>
      <c r="T40" s="657" t="s">
        <v>14</v>
      </c>
      <c r="U40" s="658">
        <f t="shared" si="11"/>
        <v>100</v>
      </c>
      <c r="V40" s="657" t="s">
        <v>14</v>
      </c>
      <c r="W40" s="658">
        <f t="shared" si="12"/>
        <v>100</v>
      </c>
      <c r="X40" s="1243"/>
      <c r="Y40" s="3383"/>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83"/>
      <c r="Q41" s="1241" t="str">
        <f t="shared" si="14"/>
        <v>宗地开发程度</v>
      </c>
      <c r="R41" s="654" t="s">
        <v>14</v>
      </c>
      <c r="S41" s="655">
        <f t="shared" si="10"/>
        <v>100</v>
      </c>
      <c r="T41" s="654" t="s">
        <v>14</v>
      </c>
      <c r="U41" s="655">
        <f t="shared" si="11"/>
        <v>100</v>
      </c>
      <c r="V41" s="654" t="s">
        <v>14</v>
      </c>
      <c r="W41" s="655">
        <f t="shared" si="12"/>
        <v>100</v>
      </c>
      <c r="X41" s="656"/>
      <c r="Y41" s="3383"/>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83" t="s">
        <v>1696</v>
      </c>
      <c r="Q42" s="1241" t="str">
        <f t="shared" si="14"/>
        <v>工程地质条件</v>
      </c>
      <c r="R42" s="657" t="s">
        <v>14</v>
      </c>
      <c r="S42" s="658">
        <f t="shared" si="10"/>
        <v>100</v>
      </c>
      <c r="T42" s="657" t="s">
        <v>14</v>
      </c>
      <c r="U42" s="658">
        <f t="shared" si="11"/>
        <v>100</v>
      </c>
      <c r="V42" s="657" t="s">
        <v>14</v>
      </c>
      <c r="W42" s="658">
        <f t="shared" si="12"/>
        <v>100</v>
      </c>
      <c r="X42" s="1243"/>
      <c r="Y42" s="3383"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83"/>
      <c r="Q43" s="1241">
        <f t="shared" si="14"/>
        <v>111</v>
      </c>
      <c r="R43" s="657" t="s">
        <v>14</v>
      </c>
      <c r="S43" s="658">
        <f t="shared" si="10"/>
        <v>100</v>
      </c>
      <c r="T43" s="657" t="s">
        <v>14</v>
      </c>
      <c r="U43" s="658">
        <f t="shared" si="11"/>
        <v>100</v>
      </c>
      <c r="V43" s="657" t="s">
        <v>14</v>
      </c>
      <c r="W43" s="658">
        <f t="shared" si="12"/>
        <v>100</v>
      </c>
      <c r="X43" s="1243"/>
      <c r="Y43" s="3383"/>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83"/>
      <c r="Q44" s="1241">
        <f t="shared" si="14"/>
        <v>111</v>
      </c>
      <c r="R44" s="657" t="s">
        <v>14</v>
      </c>
      <c r="S44" s="658">
        <f t="shared" si="10"/>
        <v>100</v>
      </c>
      <c r="T44" s="657" t="s">
        <v>14</v>
      </c>
      <c r="U44" s="658">
        <f t="shared" si="11"/>
        <v>100</v>
      </c>
      <c r="V44" s="657" t="s">
        <v>14</v>
      </c>
      <c r="W44" s="658">
        <f t="shared" si="12"/>
        <v>100</v>
      </c>
      <c r="X44" s="1243"/>
      <c r="Y44" s="3383"/>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83"/>
      <c r="Q45" s="1241">
        <f t="shared" si="14"/>
        <v>111</v>
      </c>
      <c r="R45" s="659" t="s">
        <v>14</v>
      </c>
      <c r="S45" s="660">
        <f t="shared" si="10"/>
        <v>100</v>
      </c>
      <c r="T45" s="659" t="s">
        <v>14</v>
      </c>
      <c r="U45" s="660">
        <f t="shared" si="11"/>
        <v>100</v>
      </c>
      <c r="V45" s="659" t="s">
        <v>14</v>
      </c>
      <c r="W45" s="660">
        <f t="shared" si="12"/>
        <v>100</v>
      </c>
      <c r="X45" s="661"/>
      <c r="Y45" s="3383"/>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376" t="str">
        <f>A46</f>
        <v>成交单价</v>
      </c>
      <c r="Q46" s="3376"/>
      <c r="R46" s="3377">
        <f>E46</f>
        <v>0</v>
      </c>
      <c r="S46" s="3377"/>
      <c r="T46" s="3377">
        <f>G46</f>
        <v>0</v>
      </c>
      <c r="U46" s="3377"/>
      <c r="V46" s="3377">
        <f>I46</f>
        <v>0</v>
      </c>
      <c r="W46" s="3377"/>
      <c r="X46" s="378"/>
      <c r="Y46" s="663"/>
      <c r="Z46" s="378"/>
      <c r="AA46" s="378"/>
      <c r="AB46" s="378"/>
      <c r="AC46" s="378"/>
    </row>
    <row r="47" spans="1:29" ht="15.75" thickBot="1">
      <c r="A47" s="416" t="s">
        <v>1793</v>
      </c>
      <c r="B47" s="596"/>
      <c r="C47" s="419" t="e">
        <f>R48</f>
        <v>#DIV/0!</v>
      </c>
      <c r="D47" s="2118" t="s">
        <v>2138</v>
      </c>
      <c r="E47" s="419" t="e">
        <f>R47</f>
        <v>#DIV/0!</v>
      </c>
      <c r="F47" s="2119"/>
      <c r="G47" s="418" t="e">
        <f>T47</f>
        <v>#DIV/0!</v>
      </c>
      <c r="H47" s="2119"/>
      <c r="I47" s="419" t="e">
        <f>V47</f>
        <v>#DIV/0!</v>
      </c>
      <c r="J47" s="2119"/>
      <c r="K47" s="2121">
        <f>F47+H47+J47</f>
        <v>0</v>
      </c>
      <c r="L47" s="2469"/>
      <c r="M47" s="2462"/>
      <c r="N47" s="2462"/>
      <c r="O47" s="2462"/>
      <c r="P47" s="3376" t="str">
        <f>A47</f>
        <v>比较价值（元/平方米）</v>
      </c>
      <c r="Q47" s="3376"/>
      <c r="R47" s="3435" t="e">
        <f>ROUND(PRODUCT(R46,AA7:AA45),0)</f>
        <v>#DIV/0!</v>
      </c>
      <c r="S47" s="3435"/>
      <c r="T47" s="3435" t="e">
        <f>ROUND(PRODUCT(T46,AB7:AB45),0)</f>
        <v>#DIV/0!</v>
      </c>
      <c r="U47" s="3435"/>
      <c r="V47" s="3435" t="e">
        <f>ROUND(PRODUCT(V46,AC7:AC45),0)</f>
        <v>#DIV/0!</v>
      </c>
      <c r="W47" s="3435"/>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373" t="str">
        <f>A48</f>
        <v>估价对象XX用房的比较价值（楼面单价，元/平方米）</v>
      </c>
      <c r="Q48" s="3374"/>
      <c r="R48" s="3436" t="e">
        <f>ROUND(IF(D47="简单平均",AVERAGE(R47:W47),R47*F47+T47*H47+V47*J47),0)</f>
        <v>#DIV/0!</v>
      </c>
      <c r="S48" s="3436"/>
      <c r="T48" s="3436"/>
      <c r="U48" s="3436"/>
      <c r="V48" s="3436"/>
      <c r="W48" s="3436"/>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91" t="s">
        <v>1887</v>
      </c>
      <c r="H55" s="3437"/>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6647.2</v>
      </c>
      <c r="F56" s="813" t="e">
        <f t="shared" ref="F56:F64" si="15">ROUND(B56*E56/10000,0)</f>
        <v>#DIV/0!</v>
      </c>
      <c r="G56" s="3387"/>
      <c r="H56" s="3376"/>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v>
      </c>
      <c r="D57" s="871">
        <v>0.25</v>
      </c>
      <c r="E57" s="607"/>
      <c r="F57" s="813" t="e">
        <f t="shared" si="15"/>
        <v>#DIV/0!</v>
      </c>
      <c r="G57" s="2723" t="s">
        <v>1892</v>
      </c>
      <c r="H57" s="814">
        <f>项目基本情况!B37</f>
        <v>0</v>
      </c>
      <c r="I57" s="818">
        <f>SUMIF(修正!A57:A68,H57,修正!B57:B68)</f>
        <v>0</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v>
      </c>
      <c r="D58" s="871">
        <v>0.25</v>
      </c>
      <c r="E58" s="607"/>
      <c r="F58" s="813" t="e">
        <f t="shared" si="15"/>
        <v>#DIV/0!</v>
      </c>
      <c r="G58" s="2724"/>
      <c r="H58" s="814">
        <f>项目基本情况!B37</f>
        <v>0</v>
      </c>
      <c r="I58" s="818">
        <f>SUMIF(修正!A57:A68,H58,修正!C57:C68)</f>
        <v>0</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v>
      </c>
      <c r="D59" s="871">
        <v>0.25</v>
      </c>
      <c r="E59" s="607"/>
      <c r="F59" s="813" t="e">
        <f t="shared" si="15"/>
        <v>#DIV/0!</v>
      </c>
      <c r="G59" s="2724"/>
      <c r="H59" s="814">
        <f>项目基本情况!B37</f>
        <v>0</v>
      </c>
      <c r="I59" s="818">
        <f>SUMIF(修正!A57:A68,H59,修正!D57:D68)</f>
        <v>0</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v>
      </c>
      <c r="D60" s="871">
        <v>0.25</v>
      </c>
      <c r="E60" s="203">
        <f>'数据-汇总表'!E11</f>
        <v>0</v>
      </c>
      <c r="F60" s="813" t="e">
        <f t="shared" si="15"/>
        <v>#DIV/0!</v>
      </c>
      <c r="G60" s="1812" t="s">
        <v>1896</v>
      </c>
      <c r="H60" s="814">
        <f>项目基本情况!C37</f>
        <v>0</v>
      </c>
      <c r="I60" s="818">
        <f>SUMIF(修正!A57:A68,H60,修正!E57:E68)</f>
        <v>0</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v>
      </c>
      <c r="D61" s="871">
        <v>0.25</v>
      </c>
      <c r="E61" s="203">
        <f>'数据-汇总表'!E12</f>
        <v>0</v>
      </c>
      <c r="F61" s="813" t="e">
        <f t="shared" si="15"/>
        <v>#DIV/0!</v>
      </c>
      <c r="G61" s="819" t="s">
        <v>1898</v>
      </c>
      <c r="H61" s="814">
        <f>IF(G61="商业",项目基本情况!B37,IF(G61="办公",项目基本情况!C37,IF(G61="住宅",项目基本情况!D37,项目基本情况!E37)))</f>
        <v>0</v>
      </c>
      <c r="I61" s="818">
        <f>SUMIF(修正!A57:A68,H61,修正!F57:F68)</f>
        <v>0</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v>
      </c>
      <c r="D62" s="871">
        <v>0.25</v>
      </c>
      <c r="E62" s="203">
        <f>'数据-汇总表'!E13</f>
        <v>0</v>
      </c>
      <c r="F62" s="813" t="e">
        <f t="shared" si="15"/>
        <v>#DIV/0!</v>
      </c>
      <c r="G62" s="819" t="s">
        <v>1900</v>
      </c>
      <c r="H62" s="814">
        <f>IF(G62="商业",项目基本情况!B37,IF(G62="办公",项目基本情况!C37,IF(G62="住宅",项目基本情况!D37,项目基本情况!E37)))</f>
        <v>0</v>
      </c>
      <c r="I62" s="818">
        <f>SUMIF(修正!A57:A68,H62,修正!G57:G68)</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v>
      </c>
      <c r="D63" s="871">
        <v>0.25</v>
      </c>
      <c r="E63" s="203">
        <f>'数据-汇总表'!E14</f>
        <v>0</v>
      </c>
      <c r="F63" s="813" t="e">
        <f t="shared" si="15"/>
        <v>#DIV/0!</v>
      </c>
      <c r="G63" s="1812" t="s">
        <v>1892</v>
      </c>
      <c r="H63" s="814">
        <f>项目基本情况!B37</f>
        <v>0</v>
      </c>
      <c r="I63" s="818">
        <f>SUMIF(修正!A57:A68,H63,修正!G57:G68)</f>
        <v>0</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v>
      </c>
      <c r="D64" s="871">
        <v>0.25</v>
      </c>
      <c r="E64" s="203">
        <f>'数据-汇总表'!E15</f>
        <v>0</v>
      </c>
      <c r="F64" s="813" t="e">
        <f t="shared" si="15"/>
        <v>#DIV/0!</v>
      </c>
      <c r="G64" s="1813" t="s">
        <v>1896</v>
      </c>
      <c r="H64" s="824">
        <f>项目基本情况!C37</f>
        <v>0</v>
      </c>
      <c r="I64" s="820">
        <f>SUMIF(修正!A57:A68,H64,修正!G57:G68)</f>
        <v>0</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6647.2</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2025-2-1</v>
      </c>
      <c r="D67" s="646">
        <f>EDATE(C67,-3)</f>
        <v>45597</v>
      </c>
      <c r="E67" s="646">
        <f>EDATE(D67,-3)</f>
        <v>45505</v>
      </c>
      <c r="F67" s="646">
        <f t="shared" ref="F67:O67" si="18">EDATE(E67,-3)</f>
        <v>45413</v>
      </c>
      <c r="G67" s="646">
        <f t="shared" si="18"/>
        <v>45323</v>
      </c>
      <c r="H67" s="646">
        <f t="shared" si="18"/>
        <v>45231</v>
      </c>
      <c r="I67" s="646">
        <f t="shared" si="18"/>
        <v>45139</v>
      </c>
      <c r="J67" s="646">
        <f t="shared" si="18"/>
        <v>45047</v>
      </c>
      <c r="K67" s="646">
        <f t="shared" si="18"/>
        <v>44958</v>
      </c>
      <c r="L67" s="646">
        <f t="shared" si="18"/>
        <v>44866</v>
      </c>
      <c r="M67" s="646">
        <f t="shared" si="18"/>
        <v>44774</v>
      </c>
      <c r="N67" s="646">
        <f t="shared" si="18"/>
        <v>44682</v>
      </c>
      <c r="O67" s="646">
        <f t="shared" si="18"/>
        <v>44593</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2025-1</v>
      </c>
      <c r="D69" s="1079" t="str">
        <f>YEAR(D67)&amp;"-"&amp;ROUNDUP(MONTH(D67)/3,0)</f>
        <v>2024-4</v>
      </c>
      <c r="E69" s="1079" t="str">
        <f t="shared" ref="E69:O69" si="19">YEAR(E67)&amp;"-"&amp;ROUNDUP(MONTH(E67)/3,0)</f>
        <v>2024-3</v>
      </c>
      <c r="F69" s="1079" t="str">
        <f t="shared" si="19"/>
        <v>2024-2</v>
      </c>
      <c r="G69" s="1079" t="str">
        <f t="shared" si="19"/>
        <v>2024-1</v>
      </c>
      <c r="H69" s="1079" t="str">
        <f t="shared" si="19"/>
        <v>2023-4</v>
      </c>
      <c r="I69" s="1079" t="str">
        <f t="shared" si="19"/>
        <v>2023-3</v>
      </c>
      <c r="J69" s="1079" t="str">
        <f t="shared" si="19"/>
        <v>2023-2</v>
      </c>
      <c r="K69" s="1079" t="str">
        <f t="shared" si="19"/>
        <v>2023-1</v>
      </c>
      <c r="L69" s="1079" t="str">
        <f t="shared" si="19"/>
        <v>2022-4</v>
      </c>
      <c r="M69" s="1079" t="str">
        <f t="shared" si="19"/>
        <v>2022-3</v>
      </c>
      <c r="N69" s="1079" t="str">
        <f t="shared" si="19"/>
        <v>2022-2</v>
      </c>
      <c r="O69" s="1079" t="str">
        <f t="shared" si="19"/>
        <v>2022-1</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401" t="s">
        <v>1771</v>
      </c>
      <c r="S4" s="3402"/>
      <c r="T4" s="3401" t="s">
        <v>1772</v>
      </c>
      <c r="U4" s="3402"/>
      <c r="V4" s="3377" t="s">
        <v>1773</v>
      </c>
      <c r="W4" s="3377"/>
      <c r="X4" s="1243"/>
      <c r="Y4" s="3401" t="s">
        <v>1775</v>
      </c>
      <c r="Z4" s="3402"/>
      <c r="AA4" s="3388" t="s">
        <v>1771</v>
      </c>
      <c r="AB4" s="3389" t="s">
        <v>1772</v>
      </c>
      <c r="AC4" s="3388" t="s">
        <v>1773</v>
      </c>
    </row>
    <row r="5" spans="1:29" ht="15">
      <c r="A5" s="341"/>
      <c r="B5" s="342"/>
      <c r="C5" s="3409" t="s">
        <v>1673</v>
      </c>
      <c r="D5" s="3410"/>
      <c r="E5" s="3416" t="s">
        <v>1674</v>
      </c>
      <c r="F5" s="3417"/>
      <c r="G5" s="3409" t="s">
        <v>1675</v>
      </c>
      <c r="H5" s="3410"/>
      <c r="I5" s="3409" t="s">
        <v>1676</v>
      </c>
      <c r="J5" s="3410"/>
      <c r="K5" s="530"/>
      <c r="L5" s="2461"/>
      <c r="M5" s="2462"/>
      <c r="N5" s="2462"/>
      <c r="O5" s="2462"/>
      <c r="P5" s="3397"/>
      <c r="Q5" s="3398"/>
      <c r="R5" s="3403"/>
      <c r="S5" s="3404"/>
      <c r="T5" s="3403"/>
      <c r="U5" s="3404"/>
      <c r="V5" s="3377"/>
      <c r="W5" s="3377"/>
      <c r="X5" s="1243"/>
      <c r="Y5" s="3403"/>
      <c r="Z5" s="3404"/>
      <c r="AA5" s="3389"/>
      <c r="AB5" s="3389"/>
      <c r="AC5" s="3389"/>
    </row>
    <row r="6" spans="1:29" ht="15.75" thickBot="1">
      <c r="A6" s="343"/>
      <c r="B6" s="344"/>
      <c r="C6" s="3438" t="s">
        <v>1919</v>
      </c>
      <c r="D6" s="3439"/>
      <c r="E6" s="3440" t="s">
        <v>1919</v>
      </c>
      <c r="F6" s="3441"/>
      <c r="G6" s="3438" t="s">
        <v>1919</v>
      </c>
      <c r="H6" s="3439"/>
      <c r="I6" s="3438" t="s">
        <v>1919</v>
      </c>
      <c r="J6" s="3439"/>
      <c r="K6" s="530" t="s">
        <v>1678</v>
      </c>
      <c r="L6" s="2461"/>
      <c r="M6" s="2462"/>
      <c r="N6" s="2462"/>
      <c r="O6" s="2462"/>
      <c r="P6" s="3399"/>
      <c r="Q6" s="3400"/>
      <c r="R6" s="3403"/>
      <c r="S6" s="3404"/>
      <c r="T6" s="3405"/>
      <c r="U6" s="3406"/>
      <c r="V6" s="3377"/>
      <c r="W6" s="3377"/>
      <c r="X6" s="1243"/>
      <c r="Y6" s="3405"/>
      <c r="Z6" s="3406"/>
      <c r="AA6" s="3390"/>
      <c r="AB6" s="3390"/>
      <c r="AC6" s="3390"/>
    </row>
    <row r="7" spans="1:29" s="101" customFormat="1" ht="15.75" thickBot="1">
      <c r="A7" s="345" t="s">
        <v>1679</v>
      </c>
      <c r="B7" s="346"/>
      <c r="C7" s="347">
        <f>'数据-取费表'!B2</f>
        <v>45695</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411" t="s">
        <v>1680</v>
      </c>
      <c r="Q7" s="3413"/>
      <c r="R7" s="654" t="s">
        <v>14</v>
      </c>
      <c r="S7" s="655">
        <f t="shared" ref="S7:S15" si="0">F7</f>
        <v>0</v>
      </c>
      <c r="T7" s="654" t="s">
        <v>14</v>
      </c>
      <c r="U7" s="655">
        <f t="shared" ref="U7:U15" si="1">H7</f>
        <v>0</v>
      </c>
      <c r="V7" s="654" t="s">
        <v>14</v>
      </c>
      <c r="W7" s="655">
        <f t="shared" ref="W7:W15" si="2">J7</f>
        <v>0</v>
      </c>
      <c r="X7" s="656"/>
      <c r="Y7" s="3411" t="s">
        <v>1680</v>
      </c>
      <c r="Z7" s="3412"/>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411" t="s">
        <v>1683</v>
      </c>
      <c r="Q8" s="3412"/>
      <c r="R8" s="654" t="s">
        <v>14</v>
      </c>
      <c r="S8" s="655">
        <f t="shared" si="0"/>
        <v>0</v>
      </c>
      <c r="T8" s="654" t="s">
        <v>14</v>
      </c>
      <c r="U8" s="655">
        <f t="shared" si="1"/>
        <v>0</v>
      </c>
      <c r="V8" s="654" t="s">
        <v>14</v>
      </c>
      <c r="W8" s="655">
        <f t="shared" si="2"/>
        <v>0</v>
      </c>
      <c r="X8" s="656"/>
      <c r="Y8" s="3411" t="s">
        <v>1683</v>
      </c>
      <c r="Z8" s="3412"/>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376" t="s">
        <v>1686</v>
      </c>
      <c r="Q9" s="523" t="str">
        <f t="shared" ref="Q9:Q15" si="6">B9</f>
        <v>用途</v>
      </c>
      <c r="R9" s="654" t="s">
        <v>14</v>
      </c>
      <c r="S9" s="655">
        <f t="shared" si="0"/>
        <v>100</v>
      </c>
      <c r="T9" s="654" t="s">
        <v>14</v>
      </c>
      <c r="U9" s="655">
        <f t="shared" si="1"/>
        <v>100</v>
      </c>
      <c r="V9" s="654" t="s">
        <v>14</v>
      </c>
      <c r="W9" s="655">
        <f t="shared" si="2"/>
        <v>100</v>
      </c>
      <c r="X9" s="656"/>
      <c r="Y9" s="3232"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117</v>
      </c>
      <c r="G10" s="364"/>
      <c r="H10" s="113">
        <f>ROUND(100/'数据-取费表'!G16,0)</f>
        <v>117</v>
      </c>
      <c r="I10" s="364"/>
      <c r="J10" s="113">
        <f>ROUND(100/'数据-取费表'!G16,0)</f>
        <v>117</v>
      </c>
      <c r="K10" s="585"/>
      <c r="L10" s="2464"/>
      <c r="M10" s="2465"/>
      <c r="N10" s="2465"/>
      <c r="O10" s="2516"/>
      <c r="P10" s="3376"/>
      <c r="Q10" s="523" t="str">
        <f t="shared" si="6"/>
        <v>土地使用年限（年）</v>
      </c>
      <c r="R10" s="654" t="s">
        <v>14</v>
      </c>
      <c r="S10" s="655">
        <f t="shared" si="0"/>
        <v>117</v>
      </c>
      <c r="T10" s="654" t="s">
        <v>14</v>
      </c>
      <c r="U10" s="655">
        <f t="shared" si="1"/>
        <v>117</v>
      </c>
      <c r="V10" s="654" t="s">
        <v>14</v>
      </c>
      <c r="W10" s="655">
        <f t="shared" si="2"/>
        <v>117</v>
      </c>
      <c r="X10" s="656"/>
      <c r="Y10" s="3232"/>
      <c r="Z10" s="50" t="str">
        <f t="shared" si="7"/>
        <v>土地使用年限（年）</v>
      </c>
      <c r="AA10" s="50">
        <f t="shared" si="3"/>
        <v>0.85470085470085466</v>
      </c>
      <c r="AB10" s="50">
        <f t="shared" si="4"/>
        <v>0.85470085470085466</v>
      </c>
      <c r="AC10" s="50">
        <f t="shared" si="5"/>
        <v>0.85470085470085466</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376"/>
      <c r="Q11" s="523" t="str">
        <f t="shared" si="6"/>
        <v>容积率</v>
      </c>
      <c r="R11" s="654" t="s">
        <v>14</v>
      </c>
      <c r="S11" s="655" t="e">
        <f t="shared" si="0"/>
        <v>#N/A</v>
      </c>
      <c r="T11" s="654" t="s">
        <v>14</v>
      </c>
      <c r="U11" s="655" t="e">
        <f t="shared" si="1"/>
        <v>#N/A</v>
      </c>
      <c r="V11" s="654" t="s">
        <v>14</v>
      </c>
      <c r="W11" s="655" t="e">
        <f t="shared" si="2"/>
        <v>#N/A</v>
      </c>
      <c r="X11" s="656"/>
      <c r="Y11" s="3232"/>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76"/>
      <c r="Q12" s="523">
        <f t="shared" si="6"/>
        <v>111</v>
      </c>
      <c r="R12" s="654" t="s">
        <v>14</v>
      </c>
      <c r="S12" s="655">
        <f t="shared" si="0"/>
        <v>100</v>
      </c>
      <c r="T12" s="654" t="s">
        <v>14</v>
      </c>
      <c r="U12" s="655">
        <f t="shared" si="1"/>
        <v>100</v>
      </c>
      <c r="V12" s="654" t="s">
        <v>14</v>
      </c>
      <c r="W12" s="655">
        <f t="shared" si="2"/>
        <v>100</v>
      </c>
      <c r="X12" s="656"/>
      <c r="Y12" s="3232"/>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76"/>
      <c r="Q13" s="523">
        <f t="shared" si="6"/>
        <v>111</v>
      </c>
      <c r="R13" s="654" t="s">
        <v>14</v>
      </c>
      <c r="S13" s="655">
        <f t="shared" si="0"/>
        <v>100</v>
      </c>
      <c r="T13" s="654" t="s">
        <v>14</v>
      </c>
      <c r="U13" s="655">
        <f t="shared" si="1"/>
        <v>100</v>
      </c>
      <c r="V13" s="654" t="s">
        <v>14</v>
      </c>
      <c r="W13" s="655">
        <f t="shared" si="2"/>
        <v>100</v>
      </c>
      <c r="X13" s="656"/>
      <c r="Y13" s="3232"/>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76"/>
      <c r="Q14" s="523">
        <f t="shared" si="6"/>
        <v>111</v>
      </c>
      <c r="R14" s="654" t="s">
        <v>14</v>
      </c>
      <c r="S14" s="655">
        <f t="shared" si="0"/>
        <v>100</v>
      </c>
      <c r="T14" s="654" t="s">
        <v>14</v>
      </c>
      <c r="U14" s="655">
        <f t="shared" si="1"/>
        <v>100</v>
      </c>
      <c r="V14" s="654" t="s">
        <v>14</v>
      </c>
      <c r="W14" s="655">
        <f t="shared" si="2"/>
        <v>100</v>
      </c>
      <c r="X14" s="656"/>
      <c r="Y14" s="3232"/>
      <c r="Z14" s="50">
        <f t="shared" si="7"/>
        <v>111</v>
      </c>
      <c r="AA14" s="50">
        <f t="shared" si="3"/>
        <v>1</v>
      </c>
      <c r="AB14" s="50">
        <f t="shared" si="4"/>
        <v>1</v>
      </c>
      <c r="AC14" s="50">
        <f t="shared" si="5"/>
        <v>1</v>
      </c>
    </row>
    <row r="15" spans="1:29" ht="57">
      <c r="A15" s="372" t="s">
        <v>1690</v>
      </c>
      <c r="B15" s="547" t="s">
        <v>1920</v>
      </c>
      <c r="C15" s="1796" t="str">
        <f>估价对象房地状况!G15</f>
        <v>估价对象位于XX开发区，园区建设成熟度XX，产业集聚程度XX</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378" t="s">
        <v>1691</v>
      </c>
      <c r="Q15" s="1241" t="str">
        <f t="shared" si="6"/>
        <v>产业集聚程度</v>
      </c>
      <c r="R15" s="657" t="s">
        <v>14</v>
      </c>
      <c r="S15" s="658">
        <f t="shared" si="0"/>
        <v>100</v>
      </c>
      <c r="T15" s="657" t="s">
        <v>14</v>
      </c>
      <c r="U15" s="658">
        <f t="shared" si="1"/>
        <v>100</v>
      </c>
      <c r="V15" s="657" t="s">
        <v>14</v>
      </c>
      <c r="W15" s="658">
        <f t="shared" si="2"/>
        <v>100</v>
      </c>
      <c r="X15" s="1243"/>
      <c r="Y15" s="3378"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379"/>
      <c r="Q16" s="1241"/>
      <c r="R16" s="657"/>
      <c r="S16" s="658"/>
      <c r="T16" s="657"/>
      <c r="U16" s="658"/>
      <c r="V16" s="657"/>
      <c r="W16" s="658"/>
      <c r="X16" s="1243"/>
      <c r="Y16" s="3379"/>
      <c r="Z16" s="1242"/>
      <c r="AA16" s="1242">
        <v>1</v>
      </c>
      <c r="AB16" s="1242">
        <v>1</v>
      </c>
      <c r="AC16" s="1242">
        <v>1</v>
      </c>
    </row>
    <row r="17" spans="1:29" ht="85.5">
      <c r="A17" s="360"/>
      <c r="B17" s="549" t="s">
        <v>1833</v>
      </c>
      <c r="C17" s="1731" t="str">
        <f>估价对象房地状况!G16</f>
        <v>估价对象周边道路状况、公共交通通达情况、停车便捷程度，综合评价交通便捷度较好</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379"/>
      <c r="Q17" s="1241" t="str">
        <f>B17</f>
        <v>交通便捷度</v>
      </c>
      <c r="R17" s="657" t="s">
        <v>14</v>
      </c>
      <c r="S17" s="658">
        <f>F17</f>
        <v>100</v>
      </c>
      <c r="T17" s="657" t="s">
        <v>14</v>
      </c>
      <c r="U17" s="658">
        <f>H17</f>
        <v>100</v>
      </c>
      <c r="V17" s="657" t="s">
        <v>14</v>
      </c>
      <c r="W17" s="658">
        <f>J17</f>
        <v>100</v>
      </c>
      <c r="X17" s="1243"/>
      <c r="Y17" s="3379"/>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379"/>
      <c r="Q18" s="1241"/>
      <c r="R18" s="657"/>
      <c r="S18" s="658"/>
      <c r="T18" s="657"/>
      <c r="U18" s="658"/>
      <c r="V18" s="657"/>
      <c r="W18" s="658"/>
      <c r="X18" s="1243"/>
      <c r="Y18" s="3379"/>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379"/>
      <c r="Q19" s="1241" t="str">
        <f t="shared" ref="Q19:Q33" si="8">B19</f>
        <v>区域土地利用方向</v>
      </c>
      <c r="R19" s="657" t="s">
        <v>14</v>
      </c>
      <c r="S19" s="658">
        <f>F19</f>
        <v>100</v>
      </c>
      <c r="T19" s="657" t="s">
        <v>14</v>
      </c>
      <c r="U19" s="658">
        <f>H19</f>
        <v>100</v>
      </c>
      <c r="V19" s="657" t="s">
        <v>14</v>
      </c>
      <c r="W19" s="658">
        <f>J19</f>
        <v>100</v>
      </c>
      <c r="X19" s="1243"/>
      <c r="Y19" s="3379"/>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379"/>
      <c r="Q20" s="1241"/>
      <c r="R20" s="657"/>
      <c r="S20" s="658"/>
      <c r="T20" s="657"/>
      <c r="U20" s="658"/>
      <c r="V20" s="657"/>
      <c r="W20" s="658"/>
      <c r="X20" s="1243"/>
      <c r="Y20" s="3379"/>
      <c r="Z20" s="1242"/>
      <c r="AA20" s="1242"/>
      <c r="AB20" s="1242"/>
      <c r="AC20" s="1242"/>
    </row>
    <row r="21" spans="1:29" ht="71.25">
      <c r="A21" s="341"/>
      <c r="B21" s="549" t="s">
        <v>1921</v>
      </c>
      <c r="C21" s="1731" t="str">
        <f>估价对象房地状况!G18</f>
        <v>该园区内是否有污染型企业，绿化情况，卫生条件，整体环境状况判断</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379"/>
      <c r="Q21" s="1241" t="str">
        <f t="shared" si="8"/>
        <v>环境状况</v>
      </c>
      <c r="R21" s="657" t="s">
        <v>14</v>
      </c>
      <c r="S21" s="658">
        <f>F21</f>
        <v>100</v>
      </c>
      <c r="T21" s="657" t="s">
        <v>14</v>
      </c>
      <c r="U21" s="658">
        <f>H21</f>
        <v>100</v>
      </c>
      <c r="V21" s="657" t="s">
        <v>14</v>
      </c>
      <c r="W21" s="658">
        <f>J21</f>
        <v>100</v>
      </c>
      <c r="X21" s="1243"/>
      <c r="Y21" s="3379"/>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379"/>
      <c r="Q22" s="1241"/>
      <c r="R22" s="657"/>
      <c r="S22" s="658"/>
      <c r="T22" s="657"/>
      <c r="U22" s="658"/>
      <c r="V22" s="657"/>
      <c r="W22" s="658"/>
      <c r="X22" s="1243"/>
      <c r="Y22" s="3379"/>
      <c r="Z22" s="1242"/>
      <c r="AA22" s="1242">
        <v>1</v>
      </c>
      <c r="AB22" s="1242">
        <v>1</v>
      </c>
      <c r="AC22" s="1242">
        <v>1</v>
      </c>
    </row>
    <row r="23" spans="1:29" s="101" customFormat="1" ht="42.75">
      <c r="A23" s="436"/>
      <c r="B23" s="550" t="s">
        <v>1778</v>
      </c>
      <c r="C23" s="1731" t="str">
        <f>估价对象房地状况!G19</f>
        <v>估价对象所在区域公共配套设施齐备情况</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379"/>
      <c r="Q23" s="523" t="str">
        <f t="shared" si="8"/>
        <v>公共配套设施</v>
      </c>
      <c r="R23" s="654" t="s">
        <v>14</v>
      </c>
      <c r="S23" s="655">
        <f>F23</f>
        <v>100</v>
      </c>
      <c r="T23" s="654" t="s">
        <v>14</v>
      </c>
      <c r="U23" s="655">
        <f>H23</f>
        <v>100</v>
      </c>
      <c r="V23" s="654" t="s">
        <v>14</v>
      </c>
      <c r="W23" s="655">
        <f>J23</f>
        <v>100</v>
      </c>
      <c r="X23" s="656"/>
      <c r="Y23" s="3379"/>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379"/>
      <c r="Q24" s="523"/>
      <c r="R24" s="654"/>
      <c r="S24" s="655"/>
      <c r="T24" s="654"/>
      <c r="U24" s="655"/>
      <c r="V24" s="654"/>
      <c r="W24" s="655"/>
      <c r="X24" s="656"/>
      <c r="Y24" s="3379"/>
      <c r="Z24" s="50"/>
      <c r="AA24" s="50">
        <v>1</v>
      </c>
      <c r="AB24" s="50">
        <v>1</v>
      </c>
      <c r="AC24" s="50">
        <v>1</v>
      </c>
    </row>
    <row r="25" spans="1:29" s="101" customFormat="1" ht="28.5">
      <c r="A25" s="436"/>
      <c r="B25" s="550" t="s">
        <v>1779</v>
      </c>
      <c r="C25" s="1731" t="str">
        <f>估价对象房地状况!G20</f>
        <v>估价对象所在区域基础设施水平</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379"/>
      <c r="Q25" s="523" t="str">
        <f t="shared" ref="Q25" si="9">B25</f>
        <v>基础设施水平</v>
      </c>
      <c r="R25" s="654" t="s">
        <v>14</v>
      </c>
      <c r="S25" s="655">
        <f>F25</f>
        <v>100</v>
      </c>
      <c r="T25" s="654" t="s">
        <v>14</v>
      </c>
      <c r="U25" s="655">
        <f>H25</f>
        <v>100</v>
      </c>
      <c r="V25" s="654" t="s">
        <v>14</v>
      </c>
      <c r="W25" s="655">
        <f>J25</f>
        <v>100</v>
      </c>
      <c r="X25" s="656"/>
      <c r="Y25" s="3379"/>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379"/>
      <c r="Q26" s="523"/>
      <c r="R26" s="654"/>
      <c r="S26" s="655"/>
      <c r="T26" s="654"/>
      <c r="U26" s="655"/>
      <c r="V26" s="654"/>
      <c r="W26" s="655"/>
      <c r="X26" s="656"/>
      <c r="Y26" s="3379"/>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79"/>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79"/>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379"/>
      <c r="Q28" s="1241" t="str">
        <f t="shared" si="8"/>
        <v>毗邻道路的类型与等级</v>
      </c>
      <c r="R28" s="657" t="s">
        <v>14</v>
      </c>
      <c r="S28" s="658">
        <f t="shared" si="10"/>
        <v>100</v>
      </c>
      <c r="T28" s="657" t="s">
        <v>14</v>
      </c>
      <c r="U28" s="658">
        <f t="shared" si="11"/>
        <v>100</v>
      </c>
      <c r="V28" s="657" t="s">
        <v>14</v>
      </c>
      <c r="W28" s="658">
        <f t="shared" si="12"/>
        <v>100</v>
      </c>
      <c r="X28" s="1243"/>
      <c r="Y28" s="3379"/>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379"/>
      <c r="Q29" s="1241"/>
      <c r="R29" s="657"/>
      <c r="S29" s="658"/>
      <c r="T29" s="657"/>
      <c r="U29" s="658"/>
      <c r="V29" s="657"/>
      <c r="W29" s="658"/>
      <c r="X29" s="1243"/>
      <c r="Y29" s="3379"/>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79"/>
      <c r="Q30" s="1241" t="str">
        <f t="shared" si="8"/>
        <v>土地级别</v>
      </c>
      <c r="R30" s="657" t="s">
        <v>14</v>
      </c>
      <c r="S30" s="658">
        <f t="shared" si="10"/>
        <v>100</v>
      </c>
      <c r="T30" s="657" t="s">
        <v>14</v>
      </c>
      <c r="U30" s="658">
        <f t="shared" si="11"/>
        <v>100</v>
      </c>
      <c r="V30" s="657" t="s">
        <v>14</v>
      </c>
      <c r="W30" s="658">
        <f t="shared" si="12"/>
        <v>100</v>
      </c>
      <c r="X30" s="1243"/>
      <c r="Y30" s="3379"/>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79"/>
      <c r="Q31" s="1241">
        <f t="shared" si="8"/>
        <v>111</v>
      </c>
      <c r="R31" s="657" t="s">
        <v>14</v>
      </c>
      <c r="S31" s="658">
        <f t="shared" si="10"/>
        <v>100</v>
      </c>
      <c r="T31" s="657" t="s">
        <v>14</v>
      </c>
      <c r="U31" s="658">
        <f t="shared" si="11"/>
        <v>100</v>
      </c>
      <c r="V31" s="657" t="s">
        <v>14</v>
      </c>
      <c r="W31" s="658">
        <f t="shared" si="12"/>
        <v>100</v>
      </c>
      <c r="X31" s="1243"/>
      <c r="Y31" s="3379"/>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33" t="s">
        <v>1696</v>
      </c>
      <c r="Q32" s="1241">
        <f t="shared" si="8"/>
        <v>111</v>
      </c>
      <c r="R32" s="657" t="s">
        <v>14</v>
      </c>
      <c r="S32" s="658">
        <f t="shared" si="10"/>
        <v>100</v>
      </c>
      <c r="T32" s="657" t="s">
        <v>14</v>
      </c>
      <c r="U32" s="658">
        <f t="shared" si="11"/>
        <v>100</v>
      </c>
      <c r="V32" s="657" t="s">
        <v>14</v>
      </c>
      <c r="W32" s="658">
        <f t="shared" si="12"/>
        <v>100</v>
      </c>
      <c r="X32" s="1243"/>
      <c r="Y32" s="3383"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83"/>
      <c r="Q33" s="1241">
        <f t="shared" si="8"/>
        <v>111</v>
      </c>
      <c r="R33" s="659" t="s">
        <v>14</v>
      </c>
      <c r="S33" s="660">
        <f t="shared" si="10"/>
        <v>100</v>
      </c>
      <c r="T33" s="659" t="s">
        <v>14</v>
      </c>
      <c r="U33" s="660">
        <f t="shared" si="11"/>
        <v>100</v>
      </c>
      <c r="V33" s="659" t="s">
        <v>14</v>
      </c>
      <c r="W33" s="660">
        <f t="shared" si="12"/>
        <v>100</v>
      </c>
      <c r="X33" s="661"/>
      <c r="Y33" s="3383"/>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383"/>
      <c r="Q34" s="1241" t="str">
        <f>B34</f>
        <v>宗地面积</v>
      </c>
      <c r="R34" s="657" t="s">
        <v>14</v>
      </c>
      <c r="S34" s="658" t="e">
        <f t="shared" si="10"/>
        <v>#N/A</v>
      </c>
      <c r="T34" s="657" t="s">
        <v>14</v>
      </c>
      <c r="U34" s="658" t="e">
        <f t="shared" si="11"/>
        <v>#N/A</v>
      </c>
      <c r="V34" s="657" t="s">
        <v>14</v>
      </c>
      <c r="W34" s="658" t="e">
        <f t="shared" si="12"/>
        <v>#N/A</v>
      </c>
      <c r="X34" s="1243"/>
      <c r="Y34" s="3383"/>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383"/>
      <c r="Q35" s="1241" t="str">
        <f t="shared" ref="Q35:Q40" si="14">B35</f>
        <v>宗地形状</v>
      </c>
      <c r="R35" s="657" t="s">
        <v>14</v>
      </c>
      <c r="S35" s="658">
        <f t="shared" si="10"/>
        <v>100</v>
      </c>
      <c r="T35" s="657" t="s">
        <v>14</v>
      </c>
      <c r="U35" s="658">
        <f t="shared" si="11"/>
        <v>100</v>
      </c>
      <c r="V35" s="657" t="s">
        <v>14</v>
      </c>
      <c r="W35" s="658">
        <f t="shared" si="12"/>
        <v>100</v>
      </c>
      <c r="X35" s="1243"/>
      <c r="Y35" s="3383"/>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383"/>
      <c r="Q36" s="1241" t="str">
        <f t="shared" si="14"/>
        <v>宗地开发程度</v>
      </c>
      <c r="R36" s="654" t="s">
        <v>14</v>
      </c>
      <c r="S36" s="655">
        <f t="shared" si="10"/>
        <v>100</v>
      </c>
      <c r="T36" s="654" t="s">
        <v>14</v>
      </c>
      <c r="U36" s="655">
        <f t="shared" si="11"/>
        <v>100</v>
      </c>
      <c r="V36" s="654" t="s">
        <v>14</v>
      </c>
      <c r="W36" s="655">
        <f t="shared" si="12"/>
        <v>100</v>
      </c>
      <c r="X36" s="656"/>
      <c r="Y36" s="3383"/>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383" t="s">
        <v>1696</v>
      </c>
      <c r="Q37" s="1241" t="str">
        <f t="shared" si="14"/>
        <v>工程地质条件</v>
      </c>
      <c r="R37" s="657" t="s">
        <v>14</v>
      </c>
      <c r="S37" s="658">
        <f t="shared" si="10"/>
        <v>100</v>
      </c>
      <c r="T37" s="657" t="s">
        <v>14</v>
      </c>
      <c r="U37" s="658">
        <f t="shared" si="11"/>
        <v>100</v>
      </c>
      <c r="V37" s="657" t="s">
        <v>14</v>
      </c>
      <c r="W37" s="658">
        <f t="shared" si="12"/>
        <v>100</v>
      </c>
      <c r="X37" s="1243"/>
      <c r="Y37" s="3383"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83"/>
      <c r="Q38" s="1241">
        <f t="shared" si="14"/>
        <v>111</v>
      </c>
      <c r="R38" s="657" t="s">
        <v>14</v>
      </c>
      <c r="S38" s="658">
        <f t="shared" si="10"/>
        <v>100</v>
      </c>
      <c r="T38" s="657" t="s">
        <v>14</v>
      </c>
      <c r="U38" s="658">
        <f t="shared" si="11"/>
        <v>100</v>
      </c>
      <c r="V38" s="657" t="s">
        <v>14</v>
      </c>
      <c r="W38" s="658">
        <f t="shared" si="12"/>
        <v>100</v>
      </c>
      <c r="X38" s="1243"/>
      <c r="Y38" s="3383"/>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83"/>
      <c r="Q39" s="1241">
        <f t="shared" si="14"/>
        <v>111</v>
      </c>
      <c r="R39" s="657" t="s">
        <v>14</v>
      </c>
      <c r="S39" s="658">
        <f t="shared" si="10"/>
        <v>100</v>
      </c>
      <c r="T39" s="657" t="s">
        <v>14</v>
      </c>
      <c r="U39" s="658">
        <f t="shared" si="11"/>
        <v>100</v>
      </c>
      <c r="V39" s="657" t="s">
        <v>14</v>
      </c>
      <c r="W39" s="658">
        <f t="shared" si="12"/>
        <v>100</v>
      </c>
      <c r="X39" s="1243"/>
      <c r="Y39" s="3383"/>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83"/>
      <c r="Q40" s="1241">
        <f t="shared" si="14"/>
        <v>111</v>
      </c>
      <c r="R40" s="659" t="s">
        <v>14</v>
      </c>
      <c r="S40" s="660">
        <f t="shared" si="10"/>
        <v>100</v>
      </c>
      <c r="T40" s="659" t="s">
        <v>14</v>
      </c>
      <c r="U40" s="660">
        <f t="shared" si="11"/>
        <v>100</v>
      </c>
      <c r="V40" s="659" t="s">
        <v>14</v>
      </c>
      <c r="W40" s="660">
        <f t="shared" si="12"/>
        <v>100</v>
      </c>
      <c r="X40" s="661"/>
      <c r="Y40" s="3383"/>
      <c r="Z40" s="662">
        <f t="shared" si="13"/>
        <v>111</v>
      </c>
      <c r="AA40" s="1242">
        <f t="shared" si="3"/>
        <v>1</v>
      </c>
      <c r="AB40" s="1242">
        <f t="shared" si="4"/>
        <v>1</v>
      </c>
      <c r="AC40" s="1242">
        <f t="shared" si="5"/>
        <v>1</v>
      </c>
    </row>
    <row r="41" spans="1:31" ht="15">
      <c r="A41" s="409" t="s">
        <v>1844</v>
      </c>
      <c r="B41" s="1807" t="s">
        <v>1922</v>
      </c>
      <c r="C41" s="595" t="s">
        <v>0</v>
      </c>
      <c r="D41" s="411"/>
      <c r="E41" s="412"/>
      <c r="F41" s="413"/>
      <c r="G41" s="414"/>
      <c r="H41" s="415"/>
      <c r="I41" s="412"/>
      <c r="J41" s="415"/>
      <c r="K41" s="664"/>
      <c r="L41" s="2469"/>
      <c r="M41" s="2462"/>
      <c r="N41" s="2462"/>
      <c r="O41" s="2462"/>
      <c r="P41" s="3376" t="str">
        <f>A41</f>
        <v>成交单价</v>
      </c>
      <c r="Q41" s="3376"/>
      <c r="R41" s="3377">
        <f>E41</f>
        <v>0</v>
      </c>
      <c r="S41" s="3377"/>
      <c r="T41" s="3377">
        <f>G41</f>
        <v>0</v>
      </c>
      <c r="U41" s="3377"/>
      <c r="V41" s="3377">
        <f>I41</f>
        <v>0</v>
      </c>
      <c r="W41" s="3377"/>
      <c r="X41" s="378"/>
      <c r="Y41" s="663"/>
      <c r="Z41" s="378"/>
      <c r="AA41" s="378"/>
      <c r="AB41" s="378"/>
      <c r="AC41" s="378"/>
    </row>
    <row r="42" spans="1:31" ht="15.75" thickBot="1">
      <c r="A42" s="416" t="s">
        <v>1793</v>
      </c>
      <c r="B42" s="596"/>
      <c r="C42" s="419" t="e">
        <f>R43</f>
        <v>#DIV/0!</v>
      </c>
      <c r="D42" s="2118" t="s">
        <v>2138</v>
      </c>
      <c r="E42" s="419" t="e">
        <f>R42</f>
        <v>#DIV/0!</v>
      </c>
      <c r="F42" s="2119"/>
      <c r="G42" s="418" t="e">
        <f>T42</f>
        <v>#DIV/0!</v>
      </c>
      <c r="H42" s="2119"/>
      <c r="I42" s="419" t="e">
        <f>V42</f>
        <v>#DIV/0!</v>
      </c>
      <c r="J42" s="2119"/>
      <c r="K42" s="2121">
        <f>F42+H42+J42</f>
        <v>0</v>
      </c>
      <c r="L42" s="2469"/>
      <c r="M42" s="2462"/>
      <c r="N42" s="2462"/>
      <c r="O42" s="2462"/>
      <c r="P42" s="3376" t="str">
        <f>A42</f>
        <v>比较价值（元/平方米）</v>
      </c>
      <c r="Q42" s="3376"/>
      <c r="R42" s="3435" t="e">
        <f>ROUND(PRODUCT(R41,AA7:AA40),0)</f>
        <v>#DIV/0!</v>
      </c>
      <c r="S42" s="3435"/>
      <c r="T42" s="3435" t="e">
        <f>ROUND(PRODUCT(T41,AB7:AB40),0)</f>
        <v>#DIV/0!</v>
      </c>
      <c r="U42" s="3435"/>
      <c r="V42" s="3435" t="e">
        <f>ROUND(PRODUCT(V41,AC7:AC40),0)</f>
        <v>#DIV/0!</v>
      </c>
      <c r="W42" s="3435"/>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9"/>
      <c r="M43" s="2462"/>
      <c r="N43" s="2462"/>
      <c r="O43" s="2462"/>
      <c r="P43" s="3373" t="str">
        <f>A43</f>
        <v>估价对象XX用房的比较价值（楼面单价，元/平方米）</v>
      </c>
      <c r="Q43" s="3374"/>
      <c r="R43" s="3436" t="e">
        <f>ROUND(IF(D42="简单平均",AVERAGE(R42:W42),R42*F42+T42*H42+V42*J42),0)</f>
        <v>#DIV/0!</v>
      </c>
      <c r="S43" s="3436"/>
      <c r="T43" s="3436"/>
      <c r="U43" s="3436"/>
      <c r="V43" s="3436"/>
      <c r="W43" s="3436"/>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91" t="s">
        <v>1887</v>
      </c>
      <c r="H50" s="3437"/>
      <c r="I50" s="1242" t="s">
        <v>1923</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t="e">
        <f>C43</f>
        <v>#DIV/0!</v>
      </c>
      <c r="C51" s="603">
        <v>1</v>
      </c>
      <c r="D51" s="870">
        <v>1</v>
      </c>
      <c r="E51" s="603">
        <f>'数据-汇总表'!E8+'数据-汇总表'!E9</f>
        <v>6647.2</v>
      </c>
      <c r="F51" s="604" t="e">
        <f t="shared" ref="F51:F60" si="15">ROUND(B51*E51/10000,0)</f>
        <v>#DIV/0!</v>
      </c>
      <c r="G51" s="3387"/>
      <c r="H51" s="3376"/>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t="e">
        <f>ROUND($C$43*C52*D52,0)</f>
        <v>#DIV/0!</v>
      </c>
      <c r="C52" s="157">
        <f t="shared" ref="C52:C60" si="16">IF($C$50="北京市系数",I52,J52)</f>
        <v>0</v>
      </c>
      <c r="D52" s="871">
        <v>0.25</v>
      </c>
      <c r="E52" s="607"/>
      <c r="F52" s="604" t="e">
        <f t="shared" si="15"/>
        <v>#DIV/0!</v>
      </c>
      <c r="G52" s="2723" t="s">
        <v>1892</v>
      </c>
      <c r="H52" s="814">
        <f>项目基本情况!B37</f>
        <v>0</v>
      </c>
      <c r="I52" s="709">
        <f>SUMIF(修正!A57:A68,H52,修正!B57:B68)</f>
        <v>0</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t="e">
        <f t="shared" ref="B53:B60" si="17">ROUND($C$43*C53*D53,0)</f>
        <v>#DIV/0!</v>
      </c>
      <c r="C53" s="157">
        <f t="shared" si="16"/>
        <v>0</v>
      </c>
      <c r="D53" s="871">
        <v>0.25</v>
      </c>
      <c r="E53" s="607"/>
      <c r="F53" s="604" t="e">
        <f t="shared" si="15"/>
        <v>#DIV/0!</v>
      </c>
      <c r="G53" s="2724"/>
      <c r="H53" s="814">
        <f>项目基本情况!B37</f>
        <v>0</v>
      </c>
      <c r="I53" s="709">
        <f>SUMIF(修正!A57:A68,H53,修正!C57:C68)</f>
        <v>0</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t="e">
        <f t="shared" si="17"/>
        <v>#DIV/0!</v>
      </c>
      <c r="C54" s="157">
        <f t="shared" si="16"/>
        <v>0</v>
      </c>
      <c r="D54" s="871">
        <v>0.25</v>
      </c>
      <c r="E54" s="607"/>
      <c r="F54" s="604" t="e">
        <f t="shared" si="15"/>
        <v>#DIV/0!</v>
      </c>
      <c r="G54" s="2724"/>
      <c r="H54" s="814">
        <f>项目基本情况!B37</f>
        <v>0</v>
      </c>
      <c r="I54" s="709">
        <f>SUMIF(修正!A57:A68,H54,修正!D57:D68)</f>
        <v>0</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t="e">
        <f t="shared" si="17"/>
        <v>#DIV/0!</v>
      </c>
      <c r="C56" s="157">
        <f t="shared" si="16"/>
        <v>0</v>
      </c>
      <c r="D56" s="871">
        <v>0.25</v>
      </c>
      <c r="E56" s="203">
        <f>'数据-汇总表'!E11</f>
        <v>0</v>
      </c>
      <c r="F56" s="604" t="e">
        <f t="shared" si="15"/>
        <v>#DIV/0!</v>
      </c>
      <c r="G56" s="1812" t="s">
        <v>1896</v>
      </c>
      <c r="H56" s="814">
        <f>项目基本情况!C37</f>
        <v>0</v>
      </c>
      <c r="I56" s="709">
        <f>SUMIF(修正!A57:A68,H56,修正!E57:E68)</f>
        <v>0</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t="e">
        <f t="shared" si="17"/>
        <v>#DIV/0!</v>
      </c>
      <c r="C57" s="157">
        <f t="shared" si="16"/>
        <v>0</v>
      </c>
      <c r="D57" s="871">
        <v>0.25</v>
      </c>
      <c r="E57" s="203">
        <f>'数据-汇总表'!E12</f>
        <v>0</v>
      </c>
      <c r="F57" s="604" t="e">
        <f t="shared" si="15"/>
        <v>#DIV/0!</v>
      </c>
      <c r="G57" s="819" t="s">
        <v>1898</v>
      </c>
      <c r="H57" s="814">
        <f>IF(G57="商业",项目基本情况!B37,IF(G57="办公",项目基本情况!C37,IF(G57="住宅",项目基本情况!D37,项目基本情况!E37)))</f>
        <v>0</v>
      </c>
      <c r="I57" s="709">
        <f>SUMIF(修正!A57:A68,H57,修正!F57:F68)</f>
        <v>0</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t="e">
        <f t="shared" si="17"/>
        <v>#DIV/0!</v>
      </c>
      <c r="C58" s="157">
        <f t="shared" si="16"/>
        <v>0</v>
      </c>
      <c r="D58" s="871">
        <v>0.25</v>
      </c>
      <c r="E58" s="203">
        <f>'数据-汇总表'!E13</f>
        <v>0</v>
      </c>
      <c r="F58" s="604" t="e">
        <f t="shared" si="15"/>
        <v>#DIV/0!</v>
      </c>
      <c r="G58" s="819" t="s">
        <v>1900</v>
      </c>
      <c r="H58" s="814">
        <f>IF(G58="商业",项目基本情况!B37,IF(G58="办公",项目基本情况!C37,IF(G58="住宅",项目基本情况!D37,项目基本情况!E37)))</f>
        <v>0</v>
      </c>
      <c r="I58" s="709">
        <f>SUMIF(修正!A57:A68,H58,修正!G57:G68)</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t="e">
        <f t="shared" si="17"/>
        <v>#DIV/0!</v>
      </c>
      <c r="C59" s="157">
        <f t="shared" si="16"/>
        <v>0</v>
      </c>
      <c r="D59" s="871">
        <v>0.25</v>
      </c>
      <c r="E59" s="203">
        <f>'数据-汇总表'!E14</f>
        <v>0</v>
      </c>
      <c r="F59" s="604" t="e">
        <f t="shared" si="15"/>
        <v>#DIV/0!</v>
      </c>
      <c r="G59" s="1812" t="s">
        <v>1892</v>
      </c>
      <c r="H59" s="814">
        <f>项目基本情况!B37</f>
        <v>0</v>
      </c>
      <c r="I59" s="709">
        <f>SUMIF(修正!A57:A68,H59,修正!G57:G68)</f>
        <v>0</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t="e">
        <f t="shared" si="17"/>
        <v>#DIV/0!</v>
      </c>
      <c r="C60" s="157">
        <f t="shared" si="16"/>
        <v>0</v>
      </c>
      <c r="D60" s="871">
        <v>0.25</v>
      </c>
      <c r="E60" s="203">
        <f>'数据-汇总表'!E15</f>
        <v>0</v>
      </c>
      <c r="F60" s="604" t="e">
        <f t="shared" si="15"/>
        <v>#DIV/0!</v>
      </c>
      <c r="G60" s="1813" t="s">
        <v>1896</v>
      </c>
      <c r="H60" s="824">
        <f>项目基本情况!C37</f>
        <v>0</v>
      </c>
      <c r="I60" s="709">
        <f>SUMIF(修正!A57:A68,H60,修正!G57:G68)</f>
        <v>0</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6544.93</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2025-2-1</v>
      </c>
      <c r="D63" s="646">
        <f>EDATE(C63,-3)</f>
        <v>45597</v>
      </c>
      <c r="E63" s="646">
        <f>EDATE(D63,-3)</f>
        <v>45505</v>
      </c>
      <c r="F63" s="646">
        <f t="shared" ref="F63:O63" si="18">EDATE(E63,-3)</f>
        <v>45413</v>
      </c>
      <c r="G63" s="646">
        <f t="shared" si="18"/>
        <v>45323</v>
      </c>
      <c r="H63" s="646">
        <f t="shared" si="18"/>
        <v>45231</v>
      </c>
      <c r="I63" s="646">
        <f t="shared" si="18"/>
        <v>45139</v>
      </c>
      <c r="J63" s="646">
        <f t="shared" si="18"/>
        <v>45047</v>
      </c>
      <c r="K63" s="646">
        <f t="shared" si="18"/>
        <v>44958</v>
      </c>
      <c r="L63" s="646">
        <f t="shared" si="18"/>
        <v>44866</v>
      </c>
      <c r="M63" s="646">
        <f t="shared" si="18"/>
        <v>44774</v>
      </c>
      <c r="N63" s="646">
        <f t="shared" si="18"/>
        <v>44682</v>
      </c>
      <c r="O63" s="646">
        <f t="shared" si="18"/>
        <v>44593</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2025-1</v>
      </c>
      <c r="D65" s="1079" t="str">
        <f t="shared" ref="D65:O65" si="19">YEAR(D63)&amp;"-"&amp;ROUNDUP(MONTH(D63)/3,0)</f>
        <v>2024-4</v>
      </c>
      <c r="E65" s="1079" t="str">
        <f t="shared" si="19"/>
        <v>2024-3</v>
      </c>
      <c r="F65" s="1079" t="str">
        <f t="shared" si="19"/>
        <v>2024-2</v>
      </c>
      <c r="G65" s="1079" t="str">
        <f t="shared" si="19"/>
        <v>2024-1</v>
      </c>
      <c r="H65" s="1079" t="str">
        <f t="shared" si="19"/>
        <v>2023-4</v>
      </c>
      <c r="I65" s="1079" t="str">
        <f t="shared" si="19"/>
        <v>2023-3</v>
      </c>
      <c r="J65" s="1079" t="str">
        <f t="shared" si="19"/>
        <v>2023-2</v>
      </c>
      <c r="K65" s="1079" t="str">
        <f t="shared" si="19"/>
        <v>2023-1</v>
      </c>
      <c r="L65" s="1079" t="str">
        <f t="shared" si="19"/>
        <v>2022-4</v>
      </c>
      <c r="M65" s="1079" t="str">
        <f t="shared" si="19"/>
        <v>2022-3</v>
      </c>
      <c r="N65" s="1079" t="str">
        <f t="shared" si="19"/>
        <v>2022-2</v>
      </c>
      <c r="O65" s="1079" t="str">
        <f t="shared" si="19"/>
        <v>2022-1</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1924</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2083</v>
      </c>
      <c r="C1" s="3445" t="s">
        <v>2084</v>
      </c>
      <c r="D1" s="3446"/>
      <c r="E1" s="3446"/>
      <c r="F1" s="3446"/>
      <c r="G1" s="3446"/>
      <c r="H1" s="3446"/>
      <c r="I1" s="3446"/>
      <c r="J1" s="3446"/>
      <c r="K1" s="3446"/>
      <c r="L1" s="3446"/>
      <c r="M1" s="3446"/>
      <c r="N1" s="3446"/>
      <c r="O1" s="3446"/>
      <c r="P1" s="3446"/>
      <c r="Q1" s="3446"/>
      <c r="R1" s="3446"/>
      <c r="S1" s="3447"/>
      <c r="T1" s="909" t="s">
        <v>2085</v>
      </c>
    </row>
    <row r="2" spans="1:45" s="618" customFormat="1">
      <c r="A2" s="910"/>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2087</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2088</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2089</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2090</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2091</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2092</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2093</v>
      </c>
      <c r="B17" s="1964" t="s">
        <v>2094</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2095</v>
      </c>
      <c r="E19" s="1231"/>
      <c r="F19" s="1231"/>
      <c r="G19" s="1231"/>
      <c r="H19" s="975"/>
      <c r="I19" s="145"/>
      <c r="J19" s="145"/>
      <c r="K19" s="145"/>
      <c r="L19" s="145"/>
      <c r="M19" s="145"/>
      <c r="N19" s="145"/>
      <c r="O19" s="145"/>
      <c r="P19" s="145"/>
      <c r="Q19" s="145"/>
      <c r="R19" s="145"/>
      <c r="S19" s="115"/>
    </row>
    <row r="20" spans="1:45" ht="16.5" thickBot="1">
      <c r="A20" s="625" t="s">
        <v>2096</v>
      </c>
      <c r="B20" s="280" t="e">
        <f ca="1">IF(D20="——",S22,S22-F20)</f>
        <v>#REF!</v>
      </c>
      <c r="C20" s="145"/>
      <c r="D20" s="1966"/>
      <c r="E20" s="1232"/>
      <c r="F20" s="909" t="e">
        <f ca="1">SUMIF(INDIRECT("'"&amp;H20&amp;"'"&amp;"!A:A"),"承租人权益价值",INDIRECT("'"&amp;H20&amp;"'"&amp;"!c:c"))</f>
        <v>#REF!</v>
      </c>
      <c r="G20" s="909" t="s">
        <v>2097</v>
      </c>
      <c r="H20" s="1967"/>
      <c r="I20" s="145"/>
      <c r="J20" s="145"/>
      <c r="K20" s="145"/>
      <c r="L20" s="145"/>
      <c r="M20" s="145"/>
      <c r="N20" s="145"/>
      <c r="O20" s="145"/>
      <c r="P20" s="145"/>
      <c r="Q20" s="145"/>
      <c r="R20" s="145"/>
      <c r="S20" s="115"/>
    </row>
    <row r="21" spans="1:45" ht="15.75">
      <c r="A21" s="625"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2105</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2081</v>
      </c>
      <c r="B1" s="4"/>
      <c r="C1" s="4"/>
      <c r="D1" s="4"/>
      <c r="E1" s="4"/>
      <c r="F1" s="2519"/>
      <c r="G1" s="2519"/>
      <c r="H1" s="2519"/>
      <c r="I1" s="2519"/>
      <c r="J1" s="2519"/>
      <c r="K1" s="2519"/>
      <c r="L1" s="2519"/>
      <c r="M1" s="2519"/>
      <c r="N1" s="2519"/>
      <c r="O1" s="2519"/>
      <c r="P1" s="2519"/>
    </row>
    <row r="2" spans="1:16" ht="15.75">
      <c r="A2" s="1961" t="s">
        <v>2073</v>
      </c>
      <c r="B2" s="2365">
        <f ca="1">SUMIF(B6:B13,"&lt;&gt;#ref!",B6:B13)</f>
        <v>1121</v>
      </c>
      <c r="C2" s="1961" t="s">
        <v>2074</v>
      </c>
      <c r="D2" s="1961" t="s">
        <v>2075</v>
      </c>
      <c r="E2" s="2375">
        <f ca="1">SUMIF(E6:E13,"&lt;&gt;#ref!",E6:E13)</f>
        <v>6647.2</v>
      </c>
      <c r="F2" s="2519"/>
      <c r="G2" s="2519"/>
      <c r="H2" s="2519"/>
      <c r="I2" s="2519"/>
      <c r="J2" s="2519"/>
      <c r="K2" s="2519"/>
      <c r="L2" s="2519"/>
      <c r="M2" s="2519"/>
      <c r="N2" s="2519"/>
      <c r="O2" s="2519"/>
      <c r="P2" s="2519"/>
    </row>
    <row r="3" spans="1:16" ht="15.75">
      <c r="A3" s="1961" t="s">
        <v>2076</v>
      </c>
      <c r="B3" s="2365">
        <f ca="1">ROUND(B2*10000/E2,0)</f>
        <v>1686</v>
      </c>
      <c r="C3" s="1961" t="s">
        <v>2082</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2077</v>
      </c>
      <c r="B5" s="2373" t="s">
        <v>2078</v>
      </c>
      <c r="C5" s="1962"/>
      <c r="D5" s="2519"/>
      <c r="E5" s="2374" t="s">
        <v>2079</v>
      </c>
      <c r="F5" s="2519"/>
      <c r="G5" s="2519"/>
      <c r="H5" s="2519"/>
      <c r="I5" s="2519"/>
      <c r="J5" s="2519"/>
      <c r="K5" s="2519"/>
      <c r="L5" s="2519"/>
      <c r="M5" s="2519"/>
      <c r="N5" s="2519"/>
      <c r="O5" s="2519"/>
      <c r="P5" s="2519"/>
    </row>
    <row r="6" spans="1:16" ht="15.75">
      <c r="A6" s="2372" t="s">
        <v>2080</v>
      </c>
      <c r="B6" s="2365">
        <f ca="1">SUMIF(INDIRECT("'"&amp;A6&amp;"'"&amp;"!A:A"),"总价",INDIRECT("'"&amp;A6&amp;"'"&amp;"!B:B"))</f>
        <v>1121</v>
      </c>
      <c r="C6" s="1961" t="s">
        <v>2074</v>
      </c>
      <c r="D6" s="2519"/>
      <c r="E6" s="2375">
        <f ca="1">SUMIF(INDIRECT("'"&amp;A6&amp;"'"&amp;"!C:C"),"建筑面积",INDIRECT("'"&amp;A6&amp;"'"&amp;"!D:D"))</f>
        <v>6647.2</v>
      </c>
      <c r="F6" s="2519"/>
      <c r="G6" s="2519"/>
      <c r="H6" s="2519"/>
      <c r="I6" s="2519"/>
      <c r="J6" s="2519"/>
      <c r="K6" s="2519"/>
      <c r="L6" s="2519"/>
      <c r="M6" s="2519"/>
      <c r="N6" s="2519"/>
      <c r="O6" s="2519"/>
      <c r="P6" s="2519"/>
    </row>
    <row r="7" spans="1:16" ht="15.75">
      <c r="A7" s="2372"/>
      <c r="B7" s="2365" t="e">
        <f ca="1">SUMIF(INDIRECT("'"&amp;A7&amp;"'"&amp;"!A:A"),"总价",INDIRECT("'"&amp;A7&amp;"'"&amp;"!B:B"))</f>
        <v>#REF!</v>
      </c>
      <c r="C7" s="1961" t="s">
        <v>2074</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2074</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2074</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2074</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2074</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2074</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2074</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2592</v>
      </c>
      <c r="B1" s="2784" t="s">
        <v>2593</v>
      </c>
      <c r="C1" s="2784" t="s">
        <v>2594</v>
      </c>
      <c r="D1" s="2784" t="s">
        <v>2595</v>
      </c>
      <c r="E1" s="2784" t="s">
        <v>2596</v>
      </c>
      <c r="F1" s="2784" t="s">
        <v>2597</v>
      </c>
      <c r="G1" s="2784" t="s">
        <v>2598</v>
      </c>
      <c r="H1" s="2784" t="s">
        <v>2599</v>
      </c>
      <c r="I1" s="2784" t="s">
        <v>2600</v>
      </c>
      <c r="J1" s="2784" t="s">
        <v>2601</v>
      </c>
      <c r="K1" s="2784" t="s">
        <v>2602</v>
      </c>
      <c r="L1" s="2784" t="s">
        <v>2603</v>
      </c>
      <c r="M1" s="2785" t="s">
        <v>2604</v>
      </c>
    </row>
    <row r="2" spans="1:13" ht="19.5" customHeight="1">
      <c r="A2" s="2787" t="s">
        <v>2605</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2606</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2607</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2608</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2609</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2610</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2611</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2612</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2613</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2614</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2615</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2616</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2617</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2618</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2619</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2620</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2621</v>
      </c>
      <c r="B18" s="2809"/>
      <c r="C18" s="2810"/>
      <c r="D18" s="2810"/>
      <c r="E18" s="2809"/>
      <c r="F18" s="2810"/>
      <c r="G18" s="2810"/>
    </row>
    <row r="19" spans="1:13" ht="19.5" customHeight="1" thickBot="1">
      <c r="A19" s="2807" t="s">
        <v>2622</v>
      </c>
      <c r="B19" s="2812" t="s">
        <v>2623</v>
      </c>
      <c r="C19" s="2812" t="s">
        <v>2624</v>
      </c>
      <c r="D19" s="2813"/>
      <c r="E19" s="2807" t="s">
        <v>2625</v>
      </c>
      <c r="F19" s="2814"/>
      <c r="G19" s="2814"/>
    </row>
    <row r="20" spans="1:13" ht="19.5" customHeight="1">
      <c r="A20" s="3457" t="s">
        <v>2605</v>
      </c>
      <c r="B20" s="3452" t="s">
        <v>2626</v>
      </c>
      <c r="C20" s="2815" t="s">
        <v>2437</v>
      </c>
      <c r="D20" s="2816"/>
      <c r="E20" s="2817">
        <v>1</v>
      </c>
      <c r="F20" s="2818" t="s">
        <v>2438</v>
      </c>
      <c r="G20" s="2818"/>
    </row>
    <row r="21" spans="1:13" ht="19.5" customHeight="1">
      <c r="A21" s="3458"/>
      <c r="B21" s="3451"/>
      <c r="C21" s="2819" t="s">
        <v>2439</v>
      </c>
      <c r="D21" s="2820"/>
      <c r="E21" s="2821">
        <v>1</v>
      </c>
      <c r="F21" s="2818" t="s">
        <v>2440</v>
      </c>
      <c r="G21" s="2818"/>
    </row>
    <row r="22" spans="1:13" ht="19.5" customHeight="1">
      <c r="A22" s="3458"/>
      <c r="B22" s="3451"/>
      <c r="C22" s="2819" t="s">
        <v>2441</v>
      </c>
      <c r="D22" s="2820"/>
      <c r="E22" s="2821">
        <v>0.9</v>
      </c>
      <c r="F22" s="2818" t="s">
        <v>2442</v>
      </c>
      <c r="G22" s="2818"/>
    </row>
    <row r="23" spans="1:13" ht="19.5" customHeight="1">
      <c r="A23" s="3458"/>
      <c r="B23" s="3451"/>
      <c r="C23" s="2819" t="s">
        <v>2443</v>
      </c>
      <c r="D23" s="2820"/>
      <c r="E23" s="2821">
        <v>0.9</v>
      </c>
      <c r="F23" s="2818" t="s">
        <v>2444</v>
      </c>
      <c r="G23" s="2818"/>
    </row>
    <row r="24" spans="1:13" ht="19.5" customHeight="1">
      <c r="A24" s="3458"/>
      <c r="B24" s="3451"/>
      <c r="C24" s="2819" t="s">
        <v>2445</v>
      </c>
      <c r="D24" s="2820"/>
      <c r="E24" s="2821">
        <v>0.8</v>
      </c>
      <c r="F24" s="2818" t="s">
        <v>2446</v>
      </c>
      <c r="G24" s="2818"/>
    </row>
    <row r="25" spans="1:13" ht="19.5" customHeight="1" thickBot="1">
      <c r="A25" s="3459"/>
      <c r="B25" s="3453"/>
      <c r="C25" s="2822" t="s">
        <v>2447</v>
      </c>
      <c r="D25" s="2823"/>
      <c r="E25" s="2824">
        <v>0.8</v>
      </c>
      <c r="F25" s="2818" t="s">
        <v>2448</v>
      </c>
      <c r="G25" s="2818"/>
    </row>
    <row r="26" spans="1:13" ht="19.5" customHeight="1" thickBot="1">
      <c r="A26" s="2825" t="s">
        <v>2627</v>
      </c>
      <c r="B26" s="2826" t="s">
        <v>2626</v>
      </c>
      <c r="C26" s="2827" t="s">
        <v>2628</v>
      </c>
      <c r="D26" s="2828"/>
      <c r="E26" s="2829">
        <v>1</v>
      </c>
      <c r="F26" s="2818" t="s">
        <v>2449</v>
      </c>
      <c r="G26" s="2818"/>
    </row>
    <row r="27" spans="1:13" ht="19.5" customHeight="1">
      <c r="A27" s="3454" t="s">
        <v>2629</v>
      </c>
      <c r="B27" s="3452" t="s">
        <v>2610</v>
      </c>
      <c r="C27" s="2815" t="s">
        <v>2450</v>
      </c>
      <c r="D27" s="2816"/>
      <c r="E27" s="2817">
        <v>1</v>
      </c>
      <c r="F27" s="2818" t="s">
        <v>2451</v>
      </c>
      <c r="G27" s="2818"/>
    </row>
    <row r="28" spans="1:13" ht="19.5" customHeight="1">
      <c r="A28" s="3455"/>
      <c r="B28" s="3451"/>
      <c r="C28" s="2819" t="s">
        <v>2452</v>
      </c>
      <c r="D28" s="2820"/>
      <c r="E28" s="2821">
        <v>1</v>
      </c>
      <c r="F28" s="2818" t="s">
        <v>2453</v>
      </c>
      <c r="G28" s="2818"/>
    </row>
    <row r="29" spans="1:13" ht="19.5" customHeight="1">
      <c r="A29" s="3455"/>
      <c r="B29" s="3451"/>
      <c r="C29" s="2819" t="s">
        <v>2454</v>
      </c>
      <c r="D29" s="2820"/>
      <c r="E29" s="2821">
        <v>0.8</v>
      </c>
      <c r="F29" s="2818" t="s">
        <v>2455</v>
      </c>
      <c r="G29" s="2818"/>
    </row>
    <row r="30" spans="1:13" ht="19.5" customHeight="1">
      <c r="A30" s="3455"/>
      <c r="B30" s="3451"/>
      <c r="C30" s="2819" t="s">
        <v>2456</v>
      </c>
      <c r="D30" s="2820"/>
      <c r="E30" s="2821">
        <v>0.8</v>
      </c>
      <c r="F30" s="2818" t="s">
        <v>2457</v>
      </c>
      <c r="G30" s="2818"/>
    </row>
    <row r="31" spans="1:13" ht="19.5" customHeight="1">
      <c r="A31" s="3455"/>
      <c r="B31" s="3451"/>
      <c r="C31" s="2819" t="s">
        <v>2458</v>
      </c>
      <c r="D31" s="2820"/>
      <c r="E31" s="2821">
        <v>0.8</v>
      </c>
      <c r="F31" s="2818" t="s">
        <v>2459</v>
      </c>
      <c r="G31" s="2818"/>
    </row>
    <row r="32" spans="1:13" ht="19.5" customHeight="1">
      <c r="A32" s="3455"/>
      <c r="B32" s="3451"/>
      <c r="C32" s="2819" t="s">
        <v>2460</v>
      </c>
      <c r="D32" s="2820"/>
      <c r="E32" s="2821">
        <v>0.7</v>
      </c>
      <c r="F32" s="2818" t="s">
        <v>2461</v>
      </c>
      <c r="G32" s="2818"/>
    </row>
    <row r="33" spans="1:7" ht="19.5" customHeight="1">
      <c r="A33" s="3455"/>
      <c r="B33" s="3451"/>
      <c r="C33" s="2819" t="s">
        <v>2462</v>
      </c>
      <c r="D33" s="2820"/>
      <c r="E33" s="2821">
        <v>0.8</v>
      </c>
      <c r="F33" s="2818" t="s">
        <v>2463</v>
      </c>
      <c r="G33" s="2818"/>
    </row>
    <row r="34" spans="1:7" ht="19.5" customHeight="1">
      <c r="A34" s="3455"/>
      <c r="B34" s="3451"/>
      <c r="C34" s="2819" t="s">
        <v>2464</v>
      </c>
      <c r="D34" s="2820"/>
      <c r="E34" s="2821">
        <v>0.6</v>
      </c>
      <c r="F34" s="2818" t="s">
        <v>2465</v>
      </c>
      <c r="G34" s="2818"/>
    </row>
    <row r="35" spans="1:7" ht="19.5" customHeight="1">
      <c r="A35" s="3455"/>
      <c r="B35" s="3451"/>
      <c r="C35" s="2819" t="s">
        <v>2466</v>
      </c>
      <c r="D35" s="2820"/>
      <c r="E35" s="2821">
        <v>0.2</v>
      </c>
      <c r="F35" s="2818" t="s">
        <v>2467</v>
      </c>
      <c r="G35" s="2818"/>
    </row>
    <row r="36" spans="1:7" ht="19.5" customHeight="1">
      <c r="A36" s="3455"/>
      <c r="B36" s="3451"/>
      <c r="C36" s="2819" t="s">
        <v>2468</v>
      </c>
      <c r="D36" s="2820"/>
      <c r="E36" s="2821">
        <v>0.2</v>
      </c>
      <c r="F36" s="2818" t="s">
        <v>2469</v>
      </c>
      <c r="G36" s="2818"/>
    </row>
    <row r="37" spans="1:7" ht="19.5" customHeight="1">
      <c r="A37" s="3455"/>
      <c r="B37" s="3449" t="s">
        <v>2630</v>
      </c>
      <c r="C37" s="2819" t="s">
        <v>2470</v>
      </c>
      <c r="D37" s="2820"/>
      <c r="E37" s="2821">
        <v>0.6</v>
      </c>
      <c r="F37" s="2818" t="s">
        <v>2471</v>
      </c>
      <c r="G37" s="2818"/>
    </row>
    <row r="38" spans="1:7" ht="19.5" customHeight="1">
      <c r="A38" s="3455"/>
      <c r="B38" s="3451"/>
      <c r="C38" s="2819" t="s">
        <v>2472</v>
      </c>
      <c r="D38" s="2820"/>
      <c r="E38" s="2821">
        <v>0.6</v>
      </c>
      <c r="F38" s="2818" t="s">
        <v>2473</v>
      </c>
      <c r="G38" s="2818"/>
    </row>
    <row r="39" spans="1:7" ht="19.5" customHeight="1" thickBot="1">
      <c r="A39" s="3456"/>
      <c r="B39" s="3453"/>
      <c r="C39" s="2822" t="s">
        <v>2474</v>
      </c>
      <c r="D39" s="2823"/>
      <c r="E39" s="2824">
        <v>0.6</v>
      </c>
      <c r="F39" s="2818" t="s">
        <v>2475</v>
      </c>
      <c r="G39" s="2818"/>
    </row>
    <row r="40" spans="1:7" ht="19.5" customHeight="1" thickBot="1">
      <c r="A40" s="2825" t="s">
        <v>2607</v>
      </c>
      <c r="B40" s="2826" t="s">
        <v>2607</v>
      </c>
      <c r="C40" s="2827" t="s">
        <v>2631</v>
      </c>
      <c r="D40" s="2828"/>
      <c r="E40" s="2829">
        <v>1</v>
      </c>
      <c r="F40" s="2818" t="s">
        <v>2476</v>
      </c>
      <c r="G40" s="2818"/>
    </row>
    <row r="41" spans="1:7" ht="19.5" customHeight="1">
      <c r="A41" s="3457" t="s">
        <v>2608</v>
      </c>
      <c r="B41" s="3452" t="s">
        <v>2632</v>
      </c>
      <c r="C41" s="2815" t="s">
        <v>2477</v>
      </c>
      <c r="D41" s="2816"/>
      <c r="E41" s="2817">
        <v>1</v>
      </c>
      <c r="F41" s="2818" t="s">
        <v>2478</v>
      </c>
      <c r="G41" s="2818"/>
    </row>
    <row r="42" spans="1:7" ht="19.5" customHeight="1">
      <c r="A42" s="3458"/>
      <c r="B42" s="3451"/>
      <c r="C42" s="2819" t="s">
        <v>2479</v>
      </c>
      <c r="D42" s="2820"/>
      <c r="E42" s="2821">
        <v>1</v>
      </c>
      <c r="F42" s="2818" t="s">
        <v>2480</v>
      </c>
      <c r="G42" s="2818"/>
    </row>
    <row r="43" spans="1:7" ht="19.5" customHeight="1">
      <c r="A43" s="3458"/>
      <c r="B43" s="3450"/>
      <c r="C43" s="2819" t="s">
        <v>2481</v>
      </c>
      <c r="D43" s="2820"/>
      <c r="E43" s="2821">
        <v>1.5</v>
      </c>
      <c r="F43" s="2818" t="s">
        <v>2482</v>
      </c>
      <c r="G43" s="2818"/>
    </row>
    <row r="44" spans="1:7" ht="19.5" customHeight="1">
      <c r="A44" s="3458"/>
      <c r="B44" s="2830" t="s">
        <v>2633</v>
      </c>
      <c r="C44" s="2819" t="s">
        <v>2634</v>
      </c>
      <c r="D44" s="2820"/>
      <c r="E44" s="2821">
        <v>2</v>
      </c>
      <c r="F44" s="2818" t="s">
        <v>2483</v>
      </c>
      <c r="G44" s="2818"/>
    </row>
    <row r="45" spans="1:7" ht="19.5" customHeight="1">
      <c r="A45" s="3458"/>
      <c r="B45" s="3449" t="s">
        <v>2635</v>
      </c>
      <c r="C45" s="2819" t="s">
        <v>2484</v>
      </c>
      <c r="D45" s="2820"/>
      <c r="E45" s="2821">
        <v>1</v>
      </c>
      <c r="F45" s="2818" t="s">
        <v>2485</v>
      </c>
      <c r="G45" s="2818"/>
    </row>
    <row r="46" spans="1:7" ht="19.5" customHeight="1">
      <c r="A46" s="3458"/>
      <c r="B46" s="3451"/>
      <c r="C46" s="2819" t="s">
        <v>2486</v>
      </c>
      <c r="D46" s="2820"/>
      <c r="E46" s="2821">
        <v>1</v>
      </c>
      <c r="F46" s="2818" t="s">
        <v>2487</v>
      </c>
      <c r="G46" s="2818"/>
    </row>
    <row r="47" spans="1:7" ht="19.5" customHeight="1">
      <c r="A47" s="3458"/>
      <c r="B47" s="3451"/>
      <c r="C47" s="2819" t="s">
        <v>2488</v>
      </c>
      <c r="D47" s="2820"/>
      <c r="E47" s="2821">
        <v>1</v>
      </c>
      <c r="F47" s="2818" t="s">
        <v>2489</v>
      </c>
      <c r="G47" s="2818"/>
    </row>
    <row r="48" spans="1:7" ht="19.5" customHeight="1">
      <c r="A48" s="3458"/>
      <c r="B48" s="3451"/>
      <c r="C48" s="2819" t="s">
        <v>2490</v>
      </c>
      <c r="D48" s="2820"/>
      <c r="E48" s="2821">
        <v>1</v>
      </c>
      <c r="F48" s="2818" t="s">
        <v>2491</v>
      </c>
      <c r="G48" s="2818"/>
    </row>
    <row r="49" spans="1:7" ht="19.5" customHeight="1">
      <c r="A49" s="3458"/>
      <c r="B49" s="3451"/>
      <c r="C49" s="2819" t="s">
        <v>2492</v>
      </c>
      <c r="D49" s="2820"/>
      <c r="E49" s="2821">
        <v>1</v>
      </c>
      <c r="F49" s="2818" t="s">
        <v>2493</v>
      </c>
      <c r="G49" s="2818"/>
    </row>
    <row r="50" spans="1:7" ht="19.5" customHeight="1">
      <c r="A50" s="3458"/>
      <c r="B50" s="3451"/>
      <c r="C50" s="2819" t="s">
        <v>2494</v>
      </c>
      <c r="D50" s="2820"/>
      <c r="E50" s="2821">
        <v>1</v>
      </c>
      <c r="F50" s="2818" t="s">
        <v>2495</v>
      </c>
      <c r="G50" s="2818"/>
    </row>
    <row r="51" spans="1:7" ht="19.5" customHeight="1" thickBot="1">
      <c r="A51" s="3459"/>
      <c r="B51" s="3453"/>
      <c r="C51" s="2822" t="s">
        <v>2496</v>
      </c>
      <c r="D51" s="2823"/>
      <c r="E51" s="2824">
        <v>1</v>
      </c>
      <c r="F51" s="2818" t="s">
        <v>2497</v>
      </c>
      <c r="G51" s="2818"/>
    </row>
    <row r="52" spans="1:7" ht="19.5" customHeight="1">
      <c r="A52" s="2831"/>
      <c r="B52" s="2831"/>
      <c r="C52" s="2831"/>
      <c r="D52" s="2831"/>
      <c r="E52" s="2831"/>
      <c r="F52" s="2831"/>
      <c r="G52" s="2831"/>
    </row>
    <row r="54" spans="1:7" ht="19.5" customHeight="1">
      <c r="A54" s="2832"/>
      <c r="B54" s="2804" t="s">
        <v>2636</v>
      </c>
      <c r="C54" s="2804" t="s">
        <v>2636</v>
      </c>
      <c r="D54" s="2804" t="s">
        <v>2636</v>
      </c>
      <c r="E54" s="2807" t="s">
        <v>2636</v>
      </c>
      <c r="F54" s="2807" t="s">
        <v>2637</v>
      </c>
      <c r="G54" s="2807" t="s">
        <v>2638</v>
      </c>
    </row>
    <row r="55" spans="1:7" ht="19.5" customHeight="1">
      <c r="A55" s="2833"/>
      <c r="B55" s="2807" t="s">
        <v>2605</v>
      </c>
      <c r="C55" s="2807" t="s">
        <v>2605</v>
      </c>
      <c r="D55" s="2807" t="s">
        <v>2605</v>
      </c>
      <c r="E55" s="2804" t="s">
        <v>2606</v>
      </c>
      <c r="F55" s="2804" t="s">
        <v>2608</v>
      </c>
      <c r="G55" s="2804" t="s">
        <v>2639</v>
      </c>
    </row>
    <row r="56" spans="1:7" ht="19.5" customHeight="1">
      <c r="A56" s="2834"/>
      <c r="B56" s="2804">
        <v>1</v>
      </c>
      <c r="C56" s="2804">
        <v>2</v>
      </c>
      <c r="D56" s="2804">
        <v>3</v>
      </c>
      <c r="E56" s="2835" t="s">
        <v>2640</v>
      </c>
      <c r="F56" s="2835" t="s">
        <v>2640</v>
      </c>
      <c r="G56" s="2835" t="s">
        <v>2640</v>
      </c>
    </row>
    <row r="57" spans="1:7" ht="19.5" customHeight="1">
      <c r="A57" s="2836" t="s">
        <v>2593</v>
      </c>
      <c r="B57" s="2804">
        <v>0.7</v>
      </c>
      <c r="C57" s="2804">
        <v>0.4</v>
      </c>
      <c r="D57" s="2804">
        <v>0.3</v>
      </c>
      <c r="E57" s="2835">
        <v>0.3</v>
      </c>
      <c r="F57" s="2804">
        <v>0.3</v>
      </c>
      <c r="G57" s="2804">
        <v>0.2</v>
      </c>
    </row>
    <row r="58" spans="1:7" ht="19.5" customHeight="1">
      <c r="A58" s="2836" t="s">
        <v>2594</v>
      </c>
      <c r="B58" s="2804">
        <v>0.7</v>
      </c>
      <c r="C58" s="2804">
        <v>0.4</v>
      </c>
      <c r="D58" s="2804">
        <v>0.3</v>
      </c>
      <c r="E58" s="2804">
        <v>0.3</v>
      </c>
      <c r="F58" s="2804">
        <v>0.3</v>
      </c>
      <c r="G58" s="2804">
        <v>0.2</v>
      </c>
    </row>
    <row r="59" spans="1:7" ht="19.5" customHeight="1">
      <c r="A59" s="2836" t="s">
        <v>2595</v>
      </c>
      <c r="B59" s="2804">
        <v>0.6</v>
      </c>
      <c r="C59" s="2804">
        <v>0.3</v>
      </c>
      <c r="D59" s="2804">
        <v>0.25</v>
      </c>
      <c r="E59" s="2804">
        <v>0.25</v>
      </c>
      <c r="F59" s="2804">
        <v>0.25</v>
      </c>
      <c r="G59" s="2804">
        <v>0.15</v>
      </c>
    </row>
    <row r="60" spans="1:7" ht="19.5" customHeight="1">
      <c r="A60" s="2836" t="s">
        <v>2596</v>
      </c>
      <c r="B60" s="2804">
        <v>0.6</v>
      </c>
      <c r="C60" s="2804">
        <v>0.3</v>
      </c>
      <c r="D60" s="2804">
        <v>0.25</v>
      </c>
      <c r="E60" s="2804">
        <v>0.25</v>
      </c>
      <c r="F60" s="2804">
        <v>0.25</v>
      </c>
      <c r="G60" s="2804">
        <v>0.15</v>
      </c>
    </row>
    <row r="61" spans="1:7" ht="19.5" customHeight="1">
      <c r="A61" s="2836" t="s">
        <v>2597</v>
      </c>
      <c r="B61" s="2804">
        <v>0.6</v>
      </c>
      <c r="C61" s="2804">
        <v>0.3</v>
      </c>
      <c r="D61" s="2804">
        <v>0.25</v>
      </c>
      <c r="E61" s="2804">
        <v>0.25</v>
      </c>
      <c r="F61" s="2804">
        <v>0.25</v>
      </c>
      <c r="G61" s="2804">
        <v>0.15</v>
      </c>
    </row>
    <row r="62" spans="1:7" ht="19.5" customHeight="1">
      <c r="A62" s="2836" t="s">
        <v>2598</v>
      </c>
      <c r="B62" s="2804">
        <v>0.6</v>
      </c>
      <c r="C62" s="2804">
        <v>0.3</v>
      </c>
      <c r="D62" s="2804">
        <v>0.25</v>
      </c>
      <c r="E62" s="2804">
        <v>0.25</v>
      </c>
      <c r="F62" s="2804">
        <v>0.25</v>
      </c>
      <c r="G62" s="2804">
        <v>0.15</v>
      </c>
    </row>
    <row r="63" spans="1:7" ht="19.5" customHeight="1">
      <c r="A63" s="2836" t="s">
        <v>2599</v>
      </c>
      <c r="B63" s="2804">
        <v>0.6</v>
      </c>
      <c r="C63" s="2804">
        <v>0.3</v>
      </c>
      <c r="D63" s="2804">
        <v>0.25</v>
      </c>
      <c r="E63" s="2804">
        <v>0.25</v>
      </c>
      <c r="F63" s="2804">
        <v>0.25</v>
      </c>
      <c r="G63" s="2804">
        <v>0.15</v>
      </c>
    </row>
    <row r="64" spans="1:7" ht="19.5" customHeight="1">
      <c r="A64" s="2836" t="s">
        <v>2600</v>
      </c>
      <c r="B64" s="2804">
        <v>0.5</v>
      </c>
      <c r="C64" s="2804">
        <v>0.2</v>
      </c>
      <c r="D64" s="2804">
        <v>0.2</v>
      </c>
      <c r="E64" s="2804">
        <v>0.2</v>
      </c>
      <c r="F64" s="2804">
        <v>0.2</v>
      </c>
      <c r="G64" s="2804">
        <v>0.1</v>
      </c>
    </row>
    <row r="65" spans="1:7" ht="19.5" customHeight="1">
      <c r="A65" s="2836" t="s">
        <v>2601</v>
      </c>
      <c r="B65" s="2804">
        <v>0.5</v>
      </c>
      <c r="C65" s="2804">
        <v>0.2</v>
      </c>
      <c r="D65" s="2804">
        <v>0.2</v>
      </c>
      <c r="E65" s="2804">
        <v>0.2</v>
      </c>
      <c r="F65" s="2804">
        <v>0.2</v>
      </c>
      <c r="G65" s="2804">
        <v>0.1</v>
      </c>
    </row>
    <row r="66" spans="1:7" ht="19.5" customHeight="1">
      <c r="A66" s="2836" t="s">
        <v>2602</v>
      </c>
      <c r="B66" s="2804">
        <v>0.5</v>
      </c>
      <c r="C66" s="2804">
        <v>0.2</v>
      </c>
      <c r="D66" s="2804">
        <v>0.2</v>
      </c>
      <c r="E66" s="2804">
        <v>0.2</v>
      </c>
      <c r="F66" s="2804">
        <v>0.2</v>
      </c>
      <c r="G66" s="2804">
        <v>0.1</v>
      </c>
    </row>
    <row r="67" spans="1:7" ht="19.5" customHeight="1">
      <c r="A67" s="2836" t="s">
        <v>2603</v>
      </c>
      <c r="B67" s="2804">
        <v>0.5</v>
      </c>
      <c r="C67" s="2804">
        <v>0.2</v>
      </c>
      <c r="D67" s="2804">
        <v>0.2</v>
      </c>
      <c r="E67" s="2804">
        <v>0.2</v>
      </c>
      <c r="F67" s="2804">
        <v>0.2</v>
      </c>
      <c r="G67" s="2804">
        <v>0.1</v>
      </c>
    </row>
    <row r="68" spans="1:7" ht="19.5" customHeight="1">
      <c r="A68" s="2836" t="s">
        <v>2604</v>
      </c>
      <c r="B68" s="2804">
        <v>0.5</v>
      </c>
      <c r="C68" s="2804">
        <v>0.2</v>
      </c>
      <c r="D68" s="2804">
        <v>0.2</v>
      </c>
      <c r="E68" s="2804">
        <v>0.2</v>
      </c>
      <c r="F68" s="2804">
        <v>0.2</v>
      </c>
      <c r="G68" s="2804">
        <v>0.1</v>
      </c>
    </row>
    <row r="70" spans="1:7" ht="19.5" customHeight="1">
      <c r="A70" s="2818"/>
      <c r="B70" s="2837"/>
      <c r="C70" s="2837"/>
      <c r="D70" s="2837" t="s">
        <v>2641</v>
      </c>
      <c r="E70" s="2837"/>
      <c r="F70" s="2837"/>
    </row>
    <row r="71" spans="1:7" ht="19.5" customHeight="1">
      <c r="A71" s="2830" t="s">
        <v>2642</v>
      </c>
      <c r="B71" s="2830" t="s">
        <v>2643</v>
      </c>
      <c r="C71" s="2830" t="s">
        <v>2644</v>
      </c>
      <c r="D71" s="2830" t="s">
        <v>2645</v>
      </c>
      <c r="E71" s="2830" t="s">
        <v>2646</v>
      </c>
      <c r="F71" s="2830" t="s">
        <v>2647</v>
      </c>
    </row>
    <row r="72" spans="1:7" ht="13.5">
      <c r="A72" s="2830"/>
      <c r="B72" s="2830"/>
      <c r="C72" s="2830" t="s">
        <v>2648</v>
      </c>
      <c r="D72" s="2830"/>
      <c r="E72" s="2830" t="s">
        <v>2619</v>
      </c>
      <c r="F72" s="2830" t="s">
        <v>2619</v>
      </c>
    </row>
    <row r="73" spans="1:7" ht="13.5">
      <c r="A73" s="2830">
        <v>1</v>
      </c>
      <c r="B73" s="3449" t="s">
        <v>2649</v>
      </c>
      <c r="C73" s="2804" t="s">
        <v>2650</v>
      </c>
      <c r="D73" s="2804" t="s">
        <v>2651</v>
      </c>
      <c r="E73" s="2830">
        <v>0.2</v>
      </c>
      <c r="F73" s="2830">
        <v>25</v>
      </c>
    </row>
    <row r="74" spans="1:7" ht="24">
      <c r="A74" s="2830">
        <v>2</v>
      </c>
      <c r="B74" s="3451"/>
      <c r="C74" s="2804" t="s">
        <v>2652</v>
      </c>
      <c r="D74" s="2804" t="s">
        <v>2653</v>
      </c>
      <c r="E74" s="2830">
        <v>0.2</v>
      </c>
      <c r="F74" s="2830">
        <v>25</v>
      </c>
    </row>
    <row r="75" spans="1:7" ht="24">
      <c r="A75" s="2830">
        <v>3</v>
      </c>
      <c r="B75" s="3451"/>
      <c r="C75" s="2804" t="s">
        <v>2654</v>
      </c>
      <c r="D75" s="2804" t="s">
        <v>2655</v>
      </c>
      <c r="E75" s="2830">
        <v>0.2</v>
      </c>
      <c r="F75" s="2830">
        <v>25</v>
      </c>
    </row>
    <row r="76" spans="1:7" ht="13.5">
      <c r="A76" s="2830">
        <v>4</v>
      </c>
      <c r="B76" s="3451"/>
      <c r="C76" s="2804" t="s">
        <v>2656</v>
      </c>
      <c r="D76" s="2804" t="s">
        <v>2657</v>
      </c>
      <c r="E76" s="2830">
        <v>0.15</v>
      </c>
      <c r="F76" s="2830">
        <v>20</v>
      </c>
    </row>
    <row r="77" spans="1:7" ht="24">
      <c r="A77" s="2830">
        <v>5</v>
      </c>
      <c r="B77" s="3451"/>
      <c r="C77" s="2804" t="s">
        <v>2658</v>
      </c>
      <c r="D77" s="2804" t="s">
        <v>2659</v>
      </c>
      <c r="E77" s="2830">
        <v>0.15</v>
      </c>
      <c r="F77" s="2830">
        <v>20</v>
      </c>
    </row>
    <row r="78" spans="1:7" ht="24">
      <c r="A78" s="2830">
        <v>6</v>
      </c>
      <c r="B78" s="3451"/>
      <c r="C78" s="2804" t="s">
        <v>2660</v>
      </c>
      <c r="D78" s="2804" t="s">
        <v>2661</v>
      </c>
      <c r="E78" s="2830">
        <v>0.15</v>
      </c>
      <c r="F78" s="2830">
        <v>20</v>
      </c>
    </row>
    <row r="79" spans="1:7" ht="24">
      <c r="A79" s="2830">
        <v>7</v>
      </c>
      <c r="B79" s="3451"/>
      <c r="C79" s="2804" t="s">
        <v>2662</v>
      </c>
      <c r="D79" s="2804" t="s">
        <v>2663</v>
      </c>
      <c r="E79" s="2830">
        <v>0.15</v>
      </c>
      <c r="F79" s="2830">
        <v>20</v>
      </c>
    </row>
    <row r="80" spans="1:7" ht="24">
      <c r="A80" s="2830">
        <v>8</v>
      </c>
      <c r="B80" s="3451"/>
      <c r="C80" s="2804" t="s">
        <v>2664</v>
      </c>
      <c r="D80" s="2804" t="s">
        <v>2665</v>
      </c>
      <c r="E80" s="2830">
        <v>0.1</v>
      </c>
      <c r="F80" s="2830">
        <v>15</v>
      </c>
    </row>
    <row r="81" spans="1:6" ht="24">
      <c r="A81" s="2830">
        <v>9</v>
      </c>
      <c r="B81" s="3451"/>
      <c r="C81" s="2804" t="s">
        <v>2666</v>
      </c>
      <c r="D81" s="2804" t="s">
        <v>2667</v>
      </c>
      <c r="E81" s="2830">
        <v>0.1</v>
      </c>
      <c r="F81" s="2830">
        <v>15</v>
      </c>
    </row>
    <row r="82" spans="1:6" ht="24">
      <c r="A82" s="2830">
        <v>10</v>
      </c>
      <c r="B82" s="3451"/>
      <c r="C82" s="2804" t="s">
        <v>2668</v>
      </c>
      <c r="D82" s="2804" t="s">
        <v>2669</v>
      </c>
      <c r="E82" s="2830">
        <v>0.1</v>
      </c>
      <c r="F82" s="2830">
        <v>15</v>
      </c>
    </row>
    <row r="83" spans="1:6" ht="24">
      <c r="A83" s="2830">
        <v>11</v>
      </c>
      <c r="B83" s="3451"/>
      <c r="C83" s="2804" t="s">
        <v>2670</v>
      </c>
      <c r="D83" s="2804" t="s">
        <v>2671</v>
      </c>
      <c r="E83" s="2830">
        <v>0.1</v>
      </c>
      <c r="F83" s="2830">
        <v>15</v>
      </c>
    </row>
    <row r="84" spans="1:6" ht="24">
      <c r="A84" s="2830">
        <v>12</v>
      </c>
      <c r="B84" s="3451"/>
      <c r="C84" s="2804" t="s">
        <v>2672</v>
      </c>
      <c r="D84" s="2804" t="s">
        <v>2673</v>
      </c>
      <c r="E84" s="2830">
        <v>0.1</v>
      </c>
      <c r="F84" s="2830">
        <v>15</v>
      </c>
    </row>
    <row r="85" spans="1:6" ht="13.5">
      <c r="A85" s="2830">
        <v>13</v>
      </c>
      <c r="B85" s="3451"/>
      <c r="C85" s="2804" t="s">
        <v>2674</v>
      </c>
      <c r="D85" s="2804" t="s">
        <v>2675</v>
      </c>
      <c r="E85" s="2830">
        <v>0.1</v>
      </c>
      <c r="F85" s="2830">
        <v>15</v>
      </c>
    </row>
    <row r="86" spans="1:6" ht="13.5">
      <c r="A86" s="2830">
        <v>14</v>
      </c>
      <c r="B86" s="3451"/>
      <c r="C86" s="2804" t="s">
        <v>2676</v>
      </c>
      <c r="D86" s="2804" t="s">
        <v>2677</v>
      </c>
      <c r="E86" s="2830">
        <v>0.1</v>
      </c>
      <c r="F86" s="2830">
        <v>15</v>
      </c>
    </row>
    <row r="87" spans="1:6" ht="13.5">
      <c r="A87" s="2830">
        <v>15</v>
      </c>
      <c r="B87" s="3451"/>
      <c r="C87" s="2804" t="s">
        <v>2678</v>
      </c>
      <c r="D87" s="2804" t="s">
        <v>2679</v>
      </c>
      <c r="E87" s="2830">
        <v>0.1</v>
      </c>
      <c r="F87" s="2830">
        <v>15</v>
      </c>
    </row>
    <row r="88" spans="1:6" ht="24">
      <c r="A88" s="2830">
        <v>16</v>
      </c>
      <c r="B88" s="3451"/>
      <c r="C88" s="2804" t="s">
        <v>2680</v>
      </c>
      <c r="D88" s="2804" t="s">
        <v>2681</v>
      </c>
      <c r="E88" s="2830">
        <v>0.1</v>
      </c>
      <c r="F88" s="2830">
        <v>15</v>
      </c>
    </row>
    <row r="89" spans="1:6" ht="24">
      <c r="A89" s="2830">
        <v>17</v>
      </c>
      <c r="B89" s="3450"/>
      <c r="C89" s="2804" t="s">
        <v>2682</v>
      </c>
      <c r="D89" s="2804" t="s">
        <v>2683</v>
      </c>
      <c r="E89" s="2830">
        <v>0.1</v>
      </c>
      <c r="F89" s="2830">
        <v>15</v>
      </c>
    </row>
    <row r="90" spans="1:6" ht="13.5">
      <c r="A90" s="2830">
        <v>18</v>
      </c>
      <c r="B90" s="3449" t="s">
        <v>2684</v>
      </c>
      <c r="C90" s="2804" t="s">
        <v>2685</v>
      </c>
      <c r="D90" s="2804" t="s">
        <v>2686</v>
      </c>
      <c r="E90" s="2830">
        <v>0.2</v>
      </c>
      <c r="F90" s="2830">
        <v>25</v>
      </c>
    </row>
    <row r="91" spans="1:6" ht="24">
      <c r="A91" s="2830">
        <v>19</v>
      </c>
      <c r="B91" s="3451"/>
      <c r="C91" s="2804" t="s">
        <v>2687</v>
      </c>
      <c r="D91" s="2804" t="s">
        <v>2688</v>
      </c>
      <c r="E91" s="2830">
        <v>0.2</v>
      </c>
      <c r="F91" s="2830">
        <v>25</v>
      </c>
    </row>
    <row r="92" spans="1:6" ht="13.5">
      <c r="A92" s="2830">
        <v>20</v>
      </c>
      <c r="B92" s="3451"/>
      <c r="C92" s="2804" t="s">
        <v>2689</v>
      </c>
      <c r="D92" s="2804" t="s">
        <v>2690</v>
      </c>
      <c r="E92" s="2830">
        <v>0.15</v>
      </c>
      <c r="F92" s="2830">
        <v>20</v>
      </c>
    </row>
    <row r="93" spans="1:6" ht="13.5">
      <c r="A93" s="2830">
        <v>21</v>
      </c>
      <c r="B93" s="3451"/>
      <c r="C93" s="2804" t="s">
        <v>2691</v>
      </c>
      <c r="D93" s="2804" t="s">
        <v>2692</v>
      </c>
      <c r="E93" s="2830">
        <v>0.15</v>
      </c>
      <c r="F93" s="2830">
        <v>20</v>
      </c>
    </row>
    <row r="94" spans="1:6" ht="13.5">
      <c r="A94" s="2830">
        <v>22</v>
      </c>
      <c r="B94" s="3451"/>
      <c r="C94" s="2804" t="s">
        <v>2693</v>
      </c>
      <c r="D94" s="2804" t="s">
        <v>2694</v>
      </c>
      <c r="E94" s="2830">
        <v>0.15</v>
      </c>
      <c r="F94" s="2830">
        <v>20</v>
      </c>
    </row>
    <row r="95" spans="1:6" ht="36">
      <c r="A95" s="2830">
        <v>23</v>
      </c>
      <c r="B95" s="3451"/>
      <c r="C95" s="2804" t="s">
        <v>2695</v>
      </c>
      <c r="D95" s="2804" t="s">
        <v>2696</v>
      </c>
      <c r="E95" s="2830">
        <v>0.15</v>
      </c>
      <c r="F95" s="2830">
        <v>20</v>
      </c>
    </row>
    <row r="96" spans="1:6" ht="13.5">
      <c r="A96" s="2830">
        <v>24</v>
      </c>
      <c r="B96" s="3451"/>
      <c r="C96" s="2804" t="s">
        <v>2697</v>
      </c>
      <c r="D96" s="2804" t="s">
        <v>2698</v>
      </c>
      <c r="E96" s="2830">
        <v>0.1</v>
      </c>
      <c r="F96" s="2830">
        <v>15</v>
      </c>
    </row>
    <row r="97" spans="1:6" ht="13.5">
      <c r="A97" s="2830">
        <v>25</v>
      </c>
      <c r="B97" s="3451"/>
      <c r="C97" s="2804" t="s">
        <v>2699</v>
      </c>
      <c r="D97" s="2804" t="s">
        <v>2700</v>
      </c>
      <c r="E97" s="2830">
        <v>0.1</v>
      </c>
      <c r="F97" s="2830">
        <v>15</v>
      </c>
    </row>
    <row r="98" spans="1:6" ht="24">
      <c r="A98" s="2830">
        <v>26</v>
      </c>
      <c r="B98" s="3451"/>
      <c r="C98" s="2804" t="s">
        <v>2701</v>
      </c>
      <c r="D98" s="2804" t="s">
        <v>2702</v>
      </c>
      <c r="E98" s="2830">
        <v>0.1</v>
      </c>
      <c r="F98" s="2830">
        <v>15</v>
      </c>
    </row>
    <row r="99" spans="1:6" ht="24">
      <c r="A99" s="2830">
        <v>27</v>
      </c>
      <c r="B99" s="3451"/>
      <c r="C99" s="2804" t="s">
        <v>2703</v>
      </c>
      <c r="D99" s="2804" t="s">
        <v>2704</v>
      </c>
      <c r="E99" s="2830">
        <v>0.1</v>
      </c>
      <c r="F99" s="2830">
        <v>15</v>
      </c>
    </row>
    <row r="100" spans="1:6" ht="13.5">
      <c r="A100" s="2830">
        <v>28</v>
      </c>
      <c r="B100" s="3451"/>
      <c r="C100" s="2804" t="s">
        <v>2705</v>
      </c>
      <c r="D100" s="2804" t="s">
        <v>2706</v>
      </c>
      <c r="E100" s="2830">
        <v>0.1</v>
      </c>
      <c r="F100" s="2830">
        <v>15</v>
      </c>
    </row>
    <row r="101" spans="1:6" ht="13.5">
      <c r="A101" s="2830">
        <v>29</v>
      </c>
      <c r="B101" s="3451"/>
      <c r="C101" s="2804" t="s">
        <v>2707</v>
      </c>
      <c r="D101" s="2804" t="s">
        <v>2708</v>
      </c>
      <c r="E101" s="2830">
        <v>0.1</v>
      </c>
      <c r="F101" s="2830">
        <v>15</v>
      </c>
    </row>
    <row r="102" spans="1:6" ht="13.5">
      <c r="A102" s="2830">
        <v>30</v>
      </c>
      <c r="B102" s="3451"/>
      <c r="C102" s="2804" t="s">
        <v>2709</v>
      </c>
      <c r="D102" s="2804" t="s">
        <v>2710</v>
      </c>
      <c r="E102" s="2830">
        <v>0.1</v>
      </c>
      <c r="F102" s="2830">
        <v>15</v>
      </c>
    </row>
    <row r="103" spans="1:6" ht="24">
      <c r="A103" s="2830">
        <v>31</v>
      </c>
      <c r="B103" s="3451"/>
      <c r="C103" s="2804" t="s">
        <v>2711</v>
      </c>
      <c r="D103" s="2804" t="s">
        <v>2712</v>
      </c>
      <c r="E103" s="2830">
        <v>0.1</v>
      </c>
      <c r="F103" s="2830">
        <v>15</v>
      </c>
    </row>
    <row r="104" spans="1:6" ht="24">
      <c r="A104" s="2830">
        <v>32</v>
      </c>
      <c r="B104" s="3451"/>
      <c r="C104" s="2804" t="s">
        <v>2713</v>
      </c>
      <c r="D104" s="2804" t="s">
        <v>2714</v>
      </c>
      <c r="E104" s="2830">
        <v>0.1</v>
      </c>
      <c r="F104" s="2830">
        <v>15</v>
      </c>
    </row>
    <row r="105" spans="1:6" ht="24">
      <c r="A105" s="2830">
        <v>33</v>
      </c>
      <c r="B105" s="3451"/>
      <c r="C105" s="2804" t="s">
        <v>2715</v>
      </c>
      <c r="D105" s="2804" t="s">
        <v>2716</v>
      </c>
      <c r="E105" s="2830">
        <v>0.1</v>
      </c>
      <c r="F105" s="2830">
        <v>15</v>
      </c>
    </row>
    <row r="106" spans="1:6" ht="24">
      <c r="A106" s="2830">
        <v>34</v>
      </c>
      <c r="B106" s="3450"/>
      <c r="C106" s="2804" t="s">
        <v>2717</v>
      </c>
      <c r="D106" s="2804" t="s">
        <v>2718</v>
      </c>
      <c r="E106" s="2830">
        <v>0.1</v>
      </c>
      <c r="F106" s="2830">
        <v>15</v>
      </c>
    </row>
    <row r="107" spans="1:6" ht="24">
      <c r="A107" s="2830">
        <v>35</v>
      </c>
      <c r="B107" s="3449" t="s">
        <v>2719</v>
      </c>
      <c r="C107" s="2830" t="s">
        <v>2720</v>
      </c>
      <c r="D107" s="2804" t="s">
        <v>2721</v>
      </c>
      <c r="E107" s="2830">
        <v>0.15</v>
      </c>
      <c r="F107" s="2830">
        <v>20</v>
      </c>
    </row>
    <row r="108" spans="1:6" ht="13.5">
      <c r="A108" s="2830">
        <v>36</v>
      </c>
      <c r="B108" s="3451"/>
      <c r="C108" s="2830" t="s">
        <v>2722</v>
      </c>
      <c r="D108" s="2804" t="s">
        <v>2723</v>
      </c>
      <c r="E108" s="2830">
        <v>0.15</v>
      </c>
      <c r="F108" s="2830">
        <v>20</v>
      </c>
    </row>
    <row r="109" spans="1:6" ht="13.5">
      <c r="A109" s="2830">
        <v>37</v>
      </c>
      <c r="B109" s="3451"/>
      <c r="C109" s="2830" t="s">
        <v>2724</v>
      </c>
      <c r="D109" s="2804" t="s">
        <v>2725</v>
      </c>
      <c r="E109" s="2830">
        <v>0.15</v>
      </c>
      <c r="F109" s="2830">
        <v>20</v>
      </c>
    </row>
    <row r="110" spans="1:6" ht="13.5">
      <c r="A110" s="2830">
        <v>38</v>
      </c>
      <c r="B110" s="3451"/>
      <c r="C110" s="2830" t="s">
        <v>2726</v>
      </c>
      <c r="D110" s="2804" t="s">
        <v>2727</v>
      </c>
      <c r="E110" s="2830">
        <v>0.1</v>
      </c>
      <c r="F110" s="2830">
        <v>15</v>
      </c>
    </row>
    <row r="111" spans="1:6" ht="24">
      <c r="A111" s="2830">
        <v>39</v>
      </c>
      <c r="B111" s="3451"/>
      <c r="C111" s="2830" t="s">
        <v>2728</v>
      </c>
      <c r="D111" s="2804" t="s">
        <v>2729</v>
      </c>
      <c r="E111" s="2830">
        <v>0.1</v>
      </c>
      <c r="F111" s="2830">
        <v>15</v>
      </c>
    </row>
    <row r="112" spans="1:6" ht="24">
      <c r="A112" s="2830">
        <v>40</v>
      </c>
      <c r="B112" s="3450"/>
      <c r="C112" s="2830" t="s">
        <v>2730</v>
      </c>
      <c r="D112" s="2804" t="s">
        <v>2731</v>
      </c>
      <c r="E112" s="2830">
        <v>0.1</v>
      </c>
      <c r="F112" s="2830">
        <v>15</v>
      </c>
    </row>
    <row r="113" spans="1:6" ht="13.5">
      <c r="A113" s="2830">
        <v>41</v>
      </c>
      <c r="B113" s="3448" t="s">
        <v>2732</v>
      </c>
      <c r="C113" s="2830" t="s">
        <v>2733</v>
      </c>
      <c r="D113" s="2804" t="s">
        <v>2734</v>
      </c>
      <c r="E113" s="2830">
        <v>0.1</v>
      </c>
      <c r="F113" s="2830">
        <v>15</v>
      </c>
    </row>
    <row r="114" spans="1:6" ht="13.5">
      <c r="A114" s="2830">
        <v>42</v>
      </c>
      <c r="B114" s="3448"/>
      <c r="C114" s="2830" t="s">
        <v>2735</v>
      </c>
      <c r="D114" s="2804" t="s">
        <v>2736</v>
      </c>
      <c r="E114" s="2830">
        <v>0.1</v>
      </c>
      <c r="F114" s="2830">
        <v>15</v>
      </c>
    </row>
    <row r="115" spans="1:6" ht="24">
      <c r="A115" s="2830">
        <v>43</v>
      </c>
      <c r="B115" s="3448"/>
      <c r="C115" s="2830" t="s">
        <v>2737</v>
      </c>
      <c r="D115" s="2804" t="s">
        <v>2738</v>
      </c>
      <c r="E115" s="2830">
        <v>0.1</v>
      </c>
      <c r="F115" s="2830">
        <v>15</v>
      </c>
    </row>
    <row r="116" spans="1:6" ht="13.5">
      <c r="A116" s="2830">
        <v>44</v>
      </c>
      <c r="B116" s="3449" t="s">
        <v>2739</v>
      </c>
      <c r="C116" s="2830" t="s">
        <v>2740</v>
      </c>
      <c r="D116" s="2804" t="s">
        <v>2741</v>
      </c>
      <c r="E116" s="2830">
        <v>0.1</v>
      </c>
      <c r="F116" s="2830">
        <v>15</v>
      </c>
    </row>
    <row r="117" spans="1:6" ht="24">
      <c r="A117" s="2830">
        <v>45</v>
      </c>
      <c r="B117" s="3450"/>
      <c r="C117" s="2804" t="s">
        <v>2742</v>
      </c>
      <c r="D117" s="2804" t="s">
        <v>2743</v>
      </c>
      <c r="E117" s="2830">
        <v>0.1</v>
      </c>
      <c r="F117" s="2830">
        <v>15</v>
      </c>
    </row>
    <row r="118" spans="1:6" ht="24">
      <c r="A118" s="2830">
        <v>46</v>
      </c>
      <c r="B118" s="3449" t="s">
        <v>2744</v>
      </c>
      <c r="C118" s="2830" t="s">
        <v>2745</v>
      </c>
      <c r="D118" s="2804" t="s">
        <v>2746</v>
      </c>
      <c r="E118" s="2830">
        <v>0.1</v>
      </c>
      <c r="F118" s="2830">
        <v>15</v>
      </c>
    </row>
    <row r="119" spans="1:6" ht="24">
      <c r="A119" s="2830">
        <v>47</v>
      </c>
      <c r="B119" s="3450"/>
      <c r="C119" s="2830" t="s">
        <v>2747</v>
      </c>
      <c r="D119" s="2804" t="s">
        <v>2748</v>
      </c>
      <c r="E119" s="2830">
        <v>0.1</v>
      </c>
      <c r="F119" s="2830">
        <v>15</v>
      </c>
    </row>
    <row r="120" spans="1:6" ht="13.5">
      <c r="A120" s="2830">
        <v>48</v>
      </c>
      <c r="B120" s="3449" t="s">
        <v>2749</v>
      </c>
      <c r="C120" s="2830" t="s">
        <v>2750</v>
      </c>
      <c r="D120" s="2804" t="s">
        <v>2751</v>
      </c>
      <c r="E120" s="2830">
        <v>0.1</v>
      </c>
      <c r="F120" s="2830">
        <v>15</v>
      </c>
    </row>
    <row r="121" spans="1:6" ht="13.5">
      <c r="A121" s="2830">
        <v>49</v>
      </c>
      <c r="B121" s="3450"/>
      <c r="C121" s="2830" t="s">
        <v>2752</v>
      </c>
      <c r="D121" s="2804" t="s">
        <v>2753</v>
      </c>
      <c r="E121" s="2830">
        <v>0.1</v>
      </c>
      <c r="F121" s="2830">
        <v>15</v>
      </c>
    </row>
    <row r="122" spans="1:6" ht="24">
      <c r="A122" s="2830">
        <v>50</v>
      </c>
      <c r="B122" s="3448" t="s">
        <v>2754</v>
      </c>
      <c r="C122" s="2830" t="s">
        <v>2755</v>
      </c>
      <c r="D122" s="2804" t="s">
        <v>2756</v>
      </c>
      <c r="E122" s="2830">
        <v>0.1</v>
      </c>
      <c r="F122" s="2830">
        <v>15</v>
      </c>
    </row>
    <row r="123" spans="1:6" ht="24">
      <c r="A123" s="2830">
        <v>51</v>
      </c>
      <c r="B123" s="3448"/>
      <c r="C123" s="2830" t="s">
        <v>2757</v>
      </c>
      <c r="D123" s="2804" t="s">
        <v>2758</v>
      </c>
      <c r="E123" s="2830">
        <v>0.1</v>
      </c>
      <c r="F123" s="2830">
        <v>15</v>
      </c>
    </row>
    <row r="124" spans="1:6" ht="24">
      <c r="A124" s="2830">
        <v>52</v>
      </c>
      <c r="B124" s="3448" t="s">
        <v>2759</v>
      </c>
      <c r="C124" s="2830" t="s">
        <v>2760</v>
      </c>
      <c r="D124" s="2804" t="s">
        <v>2761</v>
      </c>
      <c r="E124" s="2830">
        <v>0.1</v>
      </c>
      <c r="F124" s="2830">
        <v>15</v>
      </c>
    </row>
    <row r="125" spans="1:6" ht="24">
      <c r="A125" s="2830">
        <v>53</v>
      </c>
      <c r="B125" s="3448"/>
      <c r="C125" s="2830" t="s">
        <v>2762</v>
      </c>
      <c r="D125" s="2804" t="s">
        <v>2763</v>
      </c>
      <c r="E125" s="2830">
        <v>0.1</v>
      </c>
      <c r="F125" s="2830">
        <v>15</v>
      </c>
    </row>
    <row r="126" spans="1:6" ht="13.5">
      <c r="A126" s="2830">
        <v>54</v>
      </c>
      <c r="B126" s="2830" t="s">
        <v>2764</v>
      </c>
      <c r="C126" s="2830" t="s">
        <v>2765</v>
      </c>
      <c r="D126" s="2804" t="s">
        <v>2766</v>
      </c>
      <c r="E126" s="2830">
        <v>0.1</v>
      </c>
      <c r="F126" s="2830">
        <v>15</v>
      </c>
    </row>
    <row r="127" spans="1:6" ht="13.5">
      <c r="A127" s="2830">
        <v>55</v>
      </c>
      <c r="B127" s="3448" t="s">
        <v>2767</v>
      </c>
      <c r="C127" s="2830" t="s">
        <v>2768</v>
      </c>
      <c r="D127" s="2804" t="s">
        <v>2769</v>
      </c>
      <c r="E127" s="2830">
        <v>0.1</v>
      </c>
      <c r="F127" s="2830">
        <v>15</v>
      </c>
    </row>
    <row r="128" spans="1:6" ht="13.5">
      <c r="A128" s="2830">
        <v>56</v>
      </c>
      <c r="B128" s="3448"/>
      <c r="C128" s="2830" t="s">
        <v>2770</v>
      </c>
      <c r="D128" s="2804" t="s">
        <v>2771</v>
      </c>
      <c r="E128" s="2830">
        <v>0.1</v>
      </c>
      <c r="F128" s="2830">
        <v>15</v>
      </c>
    </row>
    <row r="129" spans="1:6" ht="24">
      <c r="A129" s="2830">
        <v>57</v>
      </c>
      <c r="B129" s="3448"/>
      <c r="C129" s="2830" t="s">
        <v>2772</v>
      </c>
      <c r="D129" s="2804" t="s">
        <v>2773</v>
      </c>
      <c r="E129" s="2830">
        <v>0.1</v>
      </c>
      <c r="F129" s="2830">
        <v>15</v>
      </c>
    </row>
    <row r="130" spans="1:6" ht="24">
      <c r="A130" s="2830">
        <v>58</v>
      </c>
      <c r="B130" s="3448" t="s">
        <v>2774</v>
      </c>
      <c r="C130" s="2830" t="s">
        <v>2775</v>
      </c>
      <c r="D130" s="2804" t="s">
        <v>2776</v>
      </c>
      <c r="E130" s="2830">
        <v>0.1</v>
      </c>
      <c r="F130" s="2830">
        <v>15</v>
      </c>
    </row>
    <row r="131" spans="1:6" ht="13.5">
      <c r="A131" s="2830">
        <v>59</v>
      </c>
      <c r="B131" s="3448"/>
      <c r="C131" s="2830" t="s">
        <v>2777</v>
      </c>
      <c r="D131" s="2804" t="s">
        <v>2778</v>
      </c>
      <c r="E131" s="2830">
        <v>0.1</v>
      </c>
      <c r="F131" s="2830">
        <v>15</v>
      </c>
    </row>
    <row r="132" spans="1:6" ht="13.5">
      <c r="A132" s="2830">
        <v>60</v>
      </c>
      <c r="B132" s="3449" t="s">
        <v>2779</v>
      </c>
      <c r="C132" s="2830" t="s">
        <v>2780</v>
      </c>
      <c r="D132" s="2804" t="s">
        <v>2781</v>
      </c>
      <c r="E132" s="2830">
        <v>0.1</v>
      </c>
      <c r="F132" s="2830">
        <v>15</v>
      </c>
    </row>
    <row r="133" spans="1:6" ht="13.5">
      <c r="A133" s="2830">
        <v>61</v>
      </c>
      <c r="B133" s="3450"/>
      <c r="C133" s="2830" t="s">
        <v>2782</v>
      </c>
      <c r="D133" s="2804" t="s">
        <v>2783</v>
      </c>
      <c r="E133" s="2830">
        <v>0.1</v>
      </c>
      <c r="F133" s="2830">
        <v>15</v>
      </c>
    </row>
    <row r="134" spans="1:6" ht="24">
      <c r="A134" s="2830">
        <v>62</v>
      </c>
      <c r="B134" s="2830" t="s">
        <v>2784</v>
      </c>
      <c r="C134" s="2830" t="s">
        <v>2785</v>
      </c>
      <c r="D134" s="2804" t="s">
        <v>2786</v>
      </c>
      <c r="E134" s="2830">
        <v>0.1</v>
      </c>
      <c r="F134" s="2830">
        <v>15</v>
      </c>
    </row>
    <row r="135" spans="1:6" ht="13.5">
      <c r="A135" s="2830">
        <v>63</v>
      </c>
      <c r="B135" s="3448" t="s">
        <v>2787</v>
      </c>
      <c r="C135" s="2830" t="s">
        <v>2788</v>
      </c>
      <c r="D135" s="2804" t="s">
        <v>2789</v>
      </c>
      <c r="E135" s="2830">
        <v>0.1</v>
      </c>
      <c r="F135" s="2830">
        <v>15</v>
      </c>
    </row>
    <row r="136" spans="1:6" ht="13.5">
      <c r="A136" s="2830">
        <v>64</v>
      </c>
      <c r="B136" s="3448"/>
      <c r="C136" s="2830" t="s">
        <v>2790</v>
      </c>
      <c r="D136" s="2804" t="s">
        <v>2791</v>
      </c>
      <c r="E136" s="2830">
        <v>0.1</v>
      </c>
      <c r="F136" s="2830">
        <v>15</v>
      </c>
    </row>
    <row r="137" spans="1:6" ht="13.5">
      <c r="A137" s="2830">
        <v>65</v>
      </c>
      <c r="B137" s="2830" t="s">
        <v>2792</v>
      </c>
      <c r="C137" s="2830" t="s">
        <v>2793</v>
      </c>
      <c r="D137" s="2804" t="s">
        <v>2794</v>
      </c>
      <c r="E137" s="2830">
        <v>0.1</v>
      </c>
      <c r="F137" s="2830">
        <v>15</v>
      </c>
    </row>
    <row r="138" spans="1:6" ht="13.5">
      <c r="A138" s="2830"/>
      <c r="B138" s="2830"/>
      <c r="C138" s="2830"/>
      <c r="D138" s="2830"/>
      <c r="E138" s="2830" t="s">
        <v>2795</v>
      </c>
      <c r="F138" s="2830"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52"/>
  </cols>
  <sheetData>
    <row r="1" spans="1:20" ht="15" thickBot="1">
      <c r="A1" s="2838" t="s">
        <v>2796</v>
      </c>
      <c r="B1" s="2838"/>
      <c r="C1" s="2838"/>
      <c r="D1" s="2838"/>
      <c r="E1" s="2838"/>
      <c r="F1" s="2838"/>
      <c r="G1" s="2838"/>
      <c r="H1" s="2838"/>
      <c r="I1" s="2838"/>
      <c r="J1" s="2838"/>
      <c r="K1" s="2838"/>
      <c r="L1" s="2838"/>
      <c r="M1" s="2838"/>
      <c r="N1" s="689"/>
    </row>
    <row r="2" spans="1:20">
      <c r="A2" s="2839" t="s">
        <v>2797</v>
      </c>
      <c r="B2" s="2840" t="s">
        <v>2593</v>
      </c>
      <c r="C2" s="2840" t="s">
        <v>2594</v>
      </c>
      <c r="D2" s="2840" t="s">
        <v>2595</v>
      </c>
      <c r="E2" s="2840" t="s">
        <v>2596</v>
      </c>
      <c r="F2" s="2840" t="s">
        <v>2597</v>
      </c>
      <c r="G2" s="2840" t="s">
        <v>2598</v>
      </c>
      <c r="H2" s="2841" t="s">
        <v>2599</v>
      </c>
      <c r="I2" s="2841" t="s">
        <v>2600</v>
      </c>
      <c r="J2" s="2842" t="s">
        <v>2601</v>
      </c>
      <c r="K2" s="2842" t="s">
        <v>2602</v>
      </c>
      <c r="L2" s="2842" t="s">
        <v>2603</v>
      </c>
      <c r="M2" s="2843" t="s">
        <v>2604</v>
      </c>
      <c r="Q2" s="2853" t="s">
        <v>2802</v>
      </c>
      <c r="R2" s="2853" t="s">
        <v>2803</v>
      </c>
      <c r="S2" s="2853" t="s">
        <v>2804</v>
      </c>
      <c r="T2" s="2853" t="s">
        <v>2805</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2798</v>
      </c>
      <c r="B93" s="2838"/>
      <c r="C93" s="2838"/>
      <c r="D93" s="2838"/>
      <c r="E93" s="2838"/>
      <c r="F93" s="2838"/>
      <c r="G93" s="2838"/>
      <c r="H93" s="2838"/>
      <c r="I93" s="2838"/>
      <c r="J93" s="2838"/>
      <c r="K93" s="2838"/>
      <c r="L93" s="2838"/>
      <c r="M93" s="2838"/>
    </row>
    <row r="94" spans="1:20">
      <c r="A94" s="2839" t="s">
        <v>2797</v>
      </c>
      <c r="B94" s="2840" t="s">
        <v>2593</v>
      </c>
      <c r="C94" s="2840" t="s">
        <v>2594</v>
      </c>
      <c r="D94" s="2840" t="s">
        <v>2595</v>
      </c>
      <c r="E94" s="2840" t="s">
        <v>2596</v>
      </c>
      <c r="F94" s="2840" t="s">
        <v>2597</v>
      </c>
      <c r="G94" s="2840" t="s">
        <v>2598</v>
      </c>
      <c r="H94" s="2841" t="s">
        <v>2599</v>
      </c>
      <c r="I94" s="2841" t="s">
        <v>2600</v>
      </c>
      <c r="J94" s="2842" t="s">
        <v>2601</v>
      </c>
      <c r="K94" s="2842" t="s">
        <v>2602</v>
      </c>
      <c r="L94" s="2842" t="s">
        <v>2603</v>
      </c>
      <c r="M94" s="2843" t="s">
        <v>2604</v>
      </c>
      <c r="N94">
        <f>SUMPRODUCT((A95:A184=ROUNDDOWN(基准地价修正!G3,1))*(B94:M94=基准地价修正!G2)*(B95:M184))</f>
        <v>1.2158</v>
      </c>
      <c r="Q94" s="2853" t="s">
        <v>2802</v>
      </c>
      <c r="R94" s="2853" t="s">
        <v>2803</v>
      </c>
      <c r="S94" s="2853" t="s">
        <v>2804</v>
      </c>
      <c r="T94" s="2853" t="s">
        <v>2805</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2799</v>
      </c>
      <c r="B185" s="2838"/>
      <c r="C185" s="2838"/>
      <c r="D185" s="2838"/>
      <c r="E185" s="2838"/>
      <c r="F185" s="2838"/>
      <c r="G185" s="2838"/>
      <c r="H185" s="2838"/>
      <c r="I185" s="2838"/>
      <c r="J185" s="2838"/>
      <c r="K185" s="2838"/>
      <c r="L185" s="2838"/>
      <c r="M185" s="2838"/>
    </row>
    <row r="186" spans="1:20">
      <c r="A186" s="2839" t="s">
        <v>2797</v>
      </c>
      <c r="B186" s="2840" t="s">
        <v>2593</v>
      </c>
      <c r="C186" s="2840" t="s">
        <v>2594</v>
      </c>
      <c r="D186" s="2840" t="s">
        <v>2595</v>
      </c>
      <c r="E186" s="2840" t="s">
        <v>2596</v>
      </c>
      <c r="F186" s="2840" t="s">
        <v>2597</v>
      </c>
      <c r="G186" s="2840" t="s">
        <v>2598</v>
      </c>
      <c r="H186" s="2841" t="s">
        <v>2599</v>
      </c>
      <c r="I186" s="2841" t="s">
        <v>2600</v>
      </c>
      <c r="J186" s="2842" t="s">
        <v>2601</v>
      </c>
      <c r="K186" s="2842" t="s">
        <v>2602</v>
      </c>
      <c r="L186" s="2842" t="s">
        <v>2603</v>
      </c>
      <c r="M186" s="2843" t="s">
        <v>2604</v>
      </c>
      <c r="Q186" s="2853" t="s">
        <v>2802</v>
      </c>
      <c r="R186" s="2853" t="s">
        <v>2803</v>
      </c>
      <c r="S186" s="2853" t="s">
        <v>2804</v>
      </c>
      <c r="T186" s="2853" t="s">
        <v>2805</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2800</v>
      </c>
      <c r="B277" s="2838"/>
      <c r="C277" s="2838"/>
      <c r="D277" s="2838"/>
      <c r="E277" s="2838"/>
      <c r="F277" s="2838"/>
      <c r="G277" s="2838"/>
      <c r="H277" s="2838"/>
      <c r="I277" s="2838"/>
      <c r="J277" s="2838"/>
      <c r="K277" s="2838"/>
      <c r="L277" s="2838"/>
      <c r="M277" s="2838"/>
    </row>
    <row r="278" spans="1:21">
      <c r="A278" s="2839" t="s">
        <v>2797</v>
      </c>
      <c r="B278" s="2840" t="s">
        <v>2593</v>
      </c>
      <c r="C278" s="2840" t="s">
        <v>2594</v>
      </c>
      <c r="D278" s="2840" t="s">
        <v>2595</v>
      </c>
      <c r="E278" s="2840" t="s">
        <v>2596</v>
      </c>
      <c r="F278" s="2840" t="s">
        <v>2597</v>
      </c>
      <c r="G278" s="2840" t="s">
        <v>2598</v>
      </c>
      <c r="H278" s="2841" t="s">
        <v>2599</v>
      </c>
      <c r="I278" s="2841" t="s">
        <v>2600</v>
      </c>
      <c r="J278" s="2842" t="s">
        <v>2601</v>
      </c>
      <c r="K278" s="2842" t="s">
        <v>2602</v>
      </c>
      <c r="L278" s="2842" t="s">
        <v>2603</v>
      </c>
      <c r="M278" s="2843" t="s">
        <v>2604</v>
      </c>
      <c r="Q278" s="2853" t="s">
        <v>2802</v>
      </c>
      <c r="R278" s="2853" t="s">
        <v>2803</v>
      </c>
      <c r="S278" s="2853" t="s">
        <v>2806</v>
      </c>
      <c r="T278" s="2853" t="s">
        <v>2807</v>
      </c>
      <c r="U278" s="2853" t="s">
        <v>2805</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2801</v>
      </c>
      <c r="B369" s="2851"/>
      <c r="C369" s="2851"/>
      <c r="D369" s="2851"/>
      <c r="E369" s="2851"/>
      <c r="F369" s="2851"/>
      <c r="G369" s="2851"/>
      <c r="H369" s="2851"/>
      <c r="I369" s="2851"/>
      <c r="J369" s="2851"/>
      <c r="K369" s="2851"/>
      <c r="L369" s="2851"/>
      <c r="M369" s="2851"/>
    </row>
    <row r="370" spans="1:20">
      <c r="A370" s="2839" t="s">
        <v>2797</v>
      </c>
      <c r="B370" s="2840" t="s">
        <v>2593</v>
      </c>
      <c r="C370" s="2840" t="s">
        <v>2594</v>
      </c>
      <c r="D370" s="2840" t="s">
        <v>2595</v>
      </c>
      <c r="E370" s="2840" t="s">
        <v>2596</v>
      </c>
      <c r="F370" s="2840" t="s">
        <v>2597</v>
      </c>
      <c r="G370" s="2840" t="s">
        <v>2598</v>
      </c>
      <c r="H370" s="2841" t="s">
        <v>2599</v>
      </c>
      <c r="I370" s="2841" t="s">
        <v>2600</v>
      </c>
      <c r="J370" s="2842" t="s">
        <v>2601</v>
      </c>
      <c r="K370" s="2842" t="s">
        <v>2602</v>
      </c>
      <c r="L370" s="2842" t="s">
        <v>2603</v>
      </c>
      <c r="M370" s="2843" t="s">
        <v>2604</v>
      </c>
      <c r="N370">
        <f>SUMPRODUCT((A371:A460=ROUNDDOWN(基准地价修正!G3,1))*(B370:M370=基准地价修正!G2)*(B371:M460))</f>
        <v>1.1565000000000001</v>
      </c>
      <c r="Q370" s="2853" t="s">
        <v>2802</v>
      </c>
      <c r="R370" s="2853" t="s">
        <v>2803</v>
      </c>
      <c r="S370" s="2853" t="s">
        <v>2804</v>
      </c>
      <c r="T370" s="2853" t="s">
        <v>2805</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6"/>
      <c r="C2" s="3146"/>
      <c r="D2" s="3146"/>
      <c r="E2" s="3146"/>
    </row>
    <row r="3" spans="1:5" ht="18">
      <c r="A3" s="3147" t="str">
        <f>IF(项目基本情况!B9="房地产市场价值","估价结果一览表（市场价值不需“结果表-1”）","估价结果一览表")</f>
        <v>估价结果一览表</v>
      </c>
      <c r="B3" s="3147"/>
      <c r="C3" s="3147"/>
      <c r="D3" s="3147"/>
      <c r="E3" s="3147"/>
    </row>
    <row r="4" spans="1:5" ht="19.5" thickBot="1">
      <c r="A4" s="1369"/>
      <c r="B4" s="3145" t="s">
        <v>917</v>
      </c>
      <c r="C4" s="3145"/>
      <c r="D4" s="3145"/>
      <c r="E4" s="1369"/>
    </row>
    <row r="5" spans="1:5" ht="16.5" thickTop="1">
      <c r="B5" s="3143" t="s">
        <v>909</v>
      </c>
      <c r="C5" s="1370" t="s">
        <v>910</v>
      </c>
      <c r="D5" s="779">
        <f ca="1">结果表!H101</f>
        <v>4511</v>
      </c>
    </row>
    <row r="6" spans="1:5" ht="15.75">
      <c r="B6" s="3143"/>
      <c r="C6" s="1370" t="s">
        <v>911</v>
      </c>
      <c r="D6" s="779" t="str">
        <f ca="1">NUMBERSTRING(INT(D5*10000),2)&amp;"元整"</f>
        <v>肆仟伍佰壹拾壹万元整</v>
      </c>
    </row>
    <row r="7" spans="1:5" ht="15.75">
      <c r="B7" s="3148"/>
      <c r="C7" s="1371" t="s">
        <v>912</v>
      </c>
      <c r="D7" s="780">
        <f ca="1">结果表!H102</f>
        <v>6786</v>
      </c>
    </row>
    <row r="8" spans="1:5" ht="15.75">
      <c r="B8" s="3149" t="str">
        <f>结果表!E103</f>
        <v>2.估价师知悉的法定优先受偿款</v>
      </c>
      <c r="C8" s="1372" t="s">
        <v>913</v>
      </c>
      <c r="D8" s="780">
        <f>结果表!H103</f>
        <v>0</v>
      </c>
    </row>
    <row r="9" spans="1:5" ht="15.75">
      <c r="B9" s="3151"/>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42" t="str">
        <f>结果表!E107</f>
        <v>3.房地产抵押价值</v>
      </c>
      <c r="C13" s="1375" t="s">
        <v>910</v>
      </c>
      <c r="D13" s="782">
        <f ca="1">结果表!H107</f>
        <v>4511</v>
      </c>
    </row>
    <row r="14" spans="1:5" ht="15.75">
      <c r="B14" s="3143"/>
      <c r="C14" s="1370" t="s">
        <v>911</v>
      </c>
      <c r="D14" s="779" t="str">
        <f ca="1">NUMBERSTRING(INT(D13*10000),2)&amp;"元整"</f>
        <v>肆仟伍佰壹拾壹万元整</v>
      </c>
    </row>
    <row r="15" spans="1:5" ht="15">
      <c r="B15" s="3148"/>
      <c r="C15" s="1371" t="s">
        <v>921</v>
      </c>
      <c r="D15" s="786">
        <f ca="1">结果表!H108</f>
        <v>6786</v>
      </c>
    </row>
    <row r="16" spans="1:5" ht="15">
      <c r="B16" s="3149" t="str">
        <f>结果表!E109</f>
        <v>——</v>
      </c>
      <c r="C16" s="1375" t="s">
        <v>922</v>
      </c>
      <c r="D16" s="1376" t="str">
        <f>结果表!H109</f>
        <v>——</v>
      </c>
    </row>
    <row r="17" spans="1:5" ht="15.75">
      <c r="B17" s="3150"/>
      <c r="C17" s="1370" t="s">
        <v>923</v>
      </c>
      <c r="D17" s="779" t="e">
        <f>NUMBERSTRING(INT(D16*10000),2)&amp;"元整"</f>
        <v>#VALUE!</v>
      </c>
    </row>
    <row r="18" spans="1:5" ht="15">
      <c r="B18" s="3151"/>
      <c r="C18" s="1371" t="s">
        <v>912</v>
      </c>
      <c r="D18" s="786" t="str">
        <f>结果表!H110</f>
        <v>——</v>
      </c>
    </row>
    <row r="19" spans="1:5" ht="15.75">
      <c r="B19" s="3142" t="str">
        <f>结果表!E111</f>
        <v>——</v>
      </c>
      <c r="C19" s="1375" t="s">
        <v>910</v>
      </c>
      <c r="D19" s="780" t="str">
        <f>结果表!H111</f>
        <v>——</v>
      </c>
    </row>
    <row r="20" spans="1:5" ht="15.75">
      <c r="B20" s="3143"/>
      <c r="C20" s="1370" t="s">
        <v>923</v>
      </c>
      <c r="D20" s="779" t="e">
        <f>NUMBERSTRING(INT(D19*10000),2)&amp;"元整"</f>
        <v>#VALUE!</v>
      </c>
    </row>
    <row r="21" spans="1:5" ht="15.75" thickBot="1">
      <c r="B21" s="3144"/>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26895</v>
      </c>
      <c r="C2" s="2" t="s">
        <v>106</v>
      </c>
      <c r="D2" s="185"/>
      <c r="E2" s="185"/>
      <c r="F2" s="185"/>
      <c r="G2" s="185"/>
    </row>
    <row r="3" spans="1:7" s="186" customFormat="1" ht="18" customHeight="1" thickBot="1">
      <c r="A3" s="189" t="s">
        <v>58</v>
      </c>
      <c r="B3" s="190">
        <f ca="1">ROUND(B2*10000/'数据-汇总表'!E3,0)</f>
        <v>40461</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133</v>
      </c>
      <c r="D10" s="777">
        <f>'数据-汇总表'!E6</f>
        <v>6647.2</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133</v>
      </c>
      <c r="D19" s="198">
        <f>'数据-汇总表'!E3</f>
        <v>6647.2</v>
      </c>
      <c r="E19" s="197">
        <f>'数据-取费表'!B31</f>
        <v>200</v>
      </c>
      <c r="F19" s="217"/>
      <c r="G19" s="1" t="s">
        <v>436</v>
      </c>
    </row>
    <row r="20" spans="1:7" s="200" customFormat="1" ht="13.5" customHeight="1">
      <c r="A20" s="713" t="s">
        <v>419</v>
      </c>
      <c r="B20" s="196" t="s">
        <v>77</v>
      </c>
      <c r="C20" s="218">
        <f>ROUND((C5+C19)*F20,0)</f>
        <v>415</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649</v>
      </c>
      <c r="D22" s="221">
        <f ca="1">C26</f>
        <v>2.9999999999999997E-4</v>
      </c>
      <c r="E22" s="222" t="s">
        <v>99</v>
      </c>
      <c r="F22" s="223">
        <f ca="1">'数据-取费表'!B40</f>
        <v>3.1E-2</v>
      </c>
      <c r="G22" s="983" t="str">
        <f>IF('数据-取费表'!B22&lt;=1,"单利计息","复利计息")</f>
        <v>单利计息</v>
      </c>
    </row>
    <row r="23" spans="1:7" s="200" customFormat="1" ht="13.5" customHeight="1">
      <c r="A23" s="716" t="s">
        <v>349</v>
      </c>
      <c r="B23" s="201" t="s">
        <v>423</v>
      </c>
      <c r="C23" s="1020">
        <f ca="1">ROUND(IF('数据-取费表'!B22&lt;=1,C5*F22*'数据-取费表'!B23,C5*(POWER((1+F22),'数据-取费表'!B23)-1)),0)</f>
        <v>639</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4</v>
      </c>
      <c r="D24" s="224"/>
      <c r="E24" s="224"/>
      <c r="F24" s="225"/>
      <c r="G24" s="226" t="s">
        <v>82</v>
      </c>
    </row>
    <row r="25" spans="1:7" s="200" customFormat="1" ht="24">
      <c r="A25" s="716" t="s">
        <v>348</v>
      </c>
      <c r="B25" s="201" t="s">
        <v>420</v>
      </c>
      <c r="C25" s="1020">
        <f ca="1">ROUND(IF('数据-取费表'!B22&lt;=1,C20*F22*'数据-取费表'!B23/2,C20*(POWER((1+F22),'数据-取费表'!B23/2)-1)),0)</f>
        <v>6</v>
      </c>
      <c r="D25" s="224"/>
      <c r="E25" s="227"/>
      <c r="F25" s="225"/>
      <c r="G25" s="228" t="s">
        <v>83</v>
      </c>
    </row>
    <row r="26" spans="1:7" s="200" customFormat="1">
      <c r="A26" s="716" t="s">
        <v>350</v>
      </c>
      <c r="B26" s="201" t="s">
        <v>422</v>
      </c>
      <c r="C26" s="224">
        <f ca="1">ROUND(IF('数据-取费表'!B22&lt;=1,F21*F22*'数据-取费表'!B23/2,F21*(POWER((1+F22),'数据-取费表'!B23/2)-1)),4)</f>
        <v>2.9999999999999997E-4</v>
      </c>
      <c r="D26" s="224"/>
      <c r="E26" s="227"/>
      <c r="F26" s="225"/>
      <c r="G26" s="229"/>
    </row>
    <row r="27" spans="1:7" s="200" customFormat="1" ht="24.75">
      <c r="A27" s="713" t="s">
        <v>342</v>
      </c>
      <c r="B27" s="230" t="s">
        <v>85</v>
      </c>
      <c r="C27" s="231">
        <f>C28</f>
        <v>1058</v>
      </c>
      <c r="D27" s="221">
        <f>C29</f>
        <v>1E-3</v>
      </c>
      <c r="E27" s="222" t="s">
        <v>99</v>
      </c>
      <c r="F27" s="232">
        <f>'数据-取费表'!Q16</f>
        <v>0.05</v>
      </c>
      <c r="G27" s="233" t="s">
        <v>431</v>
      </c>
    </row>
    <row r="28" spans="1:7" s="200" customFormat="1" ht="13.5" customHeight="1">
      <c r="A28" s="716" t="s">
        <v>349</v>
      </c>
      <c r="B28" s="234" t="s">
        <v>424</v>
      </c>
      <c r="C28" s="235">
        <f>ROUND((C5+C19+C20)*F27*'数据-取费表'!B21/'数据-取费表'!B20,0)</f>
        <v>1058</v>
      </c>
      <c r="D28" s="221"/>
      <c r="E28" s="222"/>
      <c r="F28" s="232"/>
      <c r="G28" s="233"/>
    </row>
    <row r="29" spans="1:7" s="200" customFormat="1" ht="13.5" customHeight="1">
      <c r="A29" s="716" t="s">
        <v>347</v>
      </c>
      <c r="B29" s="234" t="s">
        <v>425</v>
      </c>
      <c r="C29" s="224">
        <f>ROUND(C21*F27*'数据-取费表'!B21/'数据-取费表'!B20,4)</f>
        <v>1E-3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24709</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2481</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2194</v>
      </c>
      <c r="D34" s="203"/>
      <c r="E34" s="206"/>
      <c r="F34" s="243">
        <f>IF('数据-取费表'!B24=0,1,'数据-取费表'!N16)</f>
        <v>1</v>
      </c>
      <c r="G34" s="205" t="s">
        <v>89</v>
      </c>
    </row>
    <row r="35" spans="1:7" ht="13.5" customHeight="1">
      <c r="A35" s="716" t="s">
        <v>351</v>
      </c>
      <c r="B35" s="201" t="s">
        <v>33</v>
      </c>
      <c r="C35" s="206">
        <f>ROUND(C34*F35,0)</f>
        <v>110</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133</v>
      </c>
      <c r="D37" s="203">
        <f>'数据-汇总表'!E3</f>
        <v>6647.2</v>
      </c>
      <c r="E37" s="235">
        <f>'数据-取费表'!B35</f>
        <v>200</v>
      </c>
      <c r="F37" s="245"/>
      <c r="G37" s="247" t="s">
        <v>92</v>
      </c>
    </row>
    <row r="38" spans="1:7" ht="13.5" customHeight="1">
      <c r="A38" s="716" t="s">
        <v>354</v>
      </c>
      <c r="B38" s="201" t="s">
        <v>36</v>
      </c>
      <c r="C38" s="206">
        <f>ROUND(C34*F38,0)</f>
        <v>44</v>
      </c>
      <c r="D38" s="206"/>
      <c r="E38" s="206"/>
      <c r="F38" s="245">
        <f>'数据-取费表'!B36</f>
        <v>0.02</v>
      </c>
      <c r="G38" s="205" t="s">
        <v>90</v>
      </c>
    </row>
    <row r="39" spans="1:7" s="200" customFormat="1" ht="13.5" customHeight="1">
      <c r="A39" s="713" t="s">
        <v>338</v>
      </c>
      <c r="B39" s="196" t="s">
        <v>77</v>
      </c>
      <c r="C39" s="218">
        <f>ROUND(C33*F20,0)</f>
        <v>50</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39</v>
      </c>
      <c r="D41" s="221">
        <f ca="1">C44</f>
        <v>2.9999999999999997E-4</v>
      </c>
      <c r="E41" s="222" t="s">
        <v>102</v>
      </c>
      <c r="F41" s="223"/>
      <c r="G41" s="983" t="str">
        <f>IF('数据-取费表'!B22&lt;=1,"单利计息","复利计息")</f>
        <v>单利计息</v>
      </c>
    </row>
    <row r="42" spans="1:7" ht="13.5" customHeight="1">
      <c r="A42" s="716" t="s">
        <v>349</v>
      </c>
      <c r="B42" s="201" t="s">
        <v>423</v>
      </c>
      <c r="C42" s="224">
        <f ca="1">ROUND(IF('数据-取费表'!B22&lt;=1,C33*F22*'数据-取费表'!B21/2,C33*(POWER((1+F22),'数据-取费表'!B21/2)-1)),0)</f>
        <v>38</v>
      </c>
      <c r="D42" s="224"/>
      <c r="E42" s="224"/>
      <c r="F42" s="225"/>
      <c r="G42" s="3325" t="s">
        <v>94</v>
      </c>
    </row>
    <row r="43" spans="1:7" ht="13.5" customHeight="1">
      <c r="A43" s="716" t="s">
        <v>347</v>
      </c>
      <c r="B43" s="201" t="s">
        <v>426</v>
      </c>
      <c r="C43" s="224">
        <f ca="1">ROUND(IF('数据-取费表'!B22&lt;=1,C39*F22*'数据-取费表'!B21/2,C39*(POWER((1+F22),'数据-取费表'!B21/2)-1)),0)</f>
        <v>1</v>
      </c>
      <c r="D43" s="224"/>
      <c r="E43" s="224"/>
      <c r="F43" s="225"/>
      <c r="G43" s="3326"/>
    </row>
    <row r="44" spans="1:7" ht="13.5" customHeight="1">
      <c r="A44" s="716" t="s">
        <v>348</v>
      </c>
      <c r="B44" s="201" t="s">
        <v>428</v>
      </c>
      <c r="C44" s="224">
        <f ca="1">ROUND(IF('数据-取费表'!B22&lt;=1,C40*F22*'数据-取费表'!B21/2,C40*(POWER((1+F22),'数据-取费表'!B21/2)-1)),4)</f>
        <v>2.9999999999999997E-4</v>
      </c>
      <c r="D44" s="224"/>
      <c r="E44" s="224"/>
      <c r="F44" s="225"/>
      <c r="G44" s="3327"/>
    </row>
    <row r="45" spans="1:7" s="200" customFormat="1" ht="13.5" customHeight="1">
      <c r="A45" s="713" t="s">
        <v>341</v>
      </c>
      <c r="B45" s="230" t="s">
        <v>85</v>
      </c>
      <c r="C45" s="231">
        <f>C46</f>
        <v>127</v>
      </c>
      <c r="D45" s="221">
        <f>C47</f>
        <v>1E-3</v>
      </c>
      <c r="E45" s="222" t="s">
        <v>102</v>
      </c>
      <c r="F45" s="232"/>
      <c r="G45" s="233" t="s">
        <v>434</v>
      </c>
    </row>
    <row r="46" spans="1:7" s="200" customFormat="1" ht="13.5" customHeight="1">
      <c r="A46" s="716" t="s">
        <v>349</v>
      </c>
      <c r="B46" s="234" t="s">
        <v>427</v>
      </c>
      <c r="C46" s="235">
        <f>ROUND((C33+C39)*F27,0)</f>
        <v>127</v>
      </c>
      <c r="D46" s="249"/>
      <c r="E46" s="222"/>
      <c r="F46" s="232"/>
      <c r="G46" s="233"/>
    </row>
    <row r="47" spans="1:7" s="200" customFormat="1" ht="13.5" customHeight="1">
      <c r="A47" s="716" t="s">
        <v>347</v>
      </c>
      <c r="B47" s="234" t="s">
        <v>429</v>
      </c>
      <c r="C47" s="224">
        <f>ROUND(C40*F27,4)</f>
        <v>1E-3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2915</v>
      </c>
      <c r="D49" s="218"/>
      <c r="E49" s="218"/>
      <c r="F49" s="250"/>
      <c r="G49" s="220" t="s">
        <v>435</v>
      </c>
    </row>
    <row r="50" spans="1:7" s="244" customFormat="1" ht="24">
      <c r="A50" s="713" t="s">
        <v>344</v>
      </c>
      <c r="B50" s="196" t="s">
        <v>97</v>
      </c>
      <c r="C50" s="218"/>
      <c r="D50" s="218"/>
      <c r="E50" s="218"/>
      <c r="F50" s="250">
        <f>IF('数据-取费表'!B24=0,'数据-取费表'!N16,1)</f>
        <v>0.75</v>
      </c>
      <c r="G50" s="233" t="s">
        <v>98</v>
      </c>
    </row>
    <row r="51" spans="1:7" ht="16.5" customHeight="1">
      <c r="A51" s="713" t="s">
        <v>345</v>
      </c>
      <c r="B51" s="196" t="s">
        <v>105</v>
      </c>
      <c r="C51" s="218">
        <f ca="1">ROUND(C49*F50,0)</f>
        <v>2186</v>
      </c>
      <c r="D51" s="218"/>
      <c r="E51" s="218"/>
      <c r="F51" s="250"/>
      <c r="G51" s="220" t="s">
        <v>37</v>
      </c>
    </row>
    <row r="52" spans="1:7" s="194" customFormat="1" ht="16.5" thickBot="1">
      <c r="A52" s="251" t="s">
        <v>38</v>
      </c>
      <c r="B52" s="252"/>
      <c r="C52" s="253">
        <f ca="1">C31+C51</f>
        <v>26895</v>
      </c>
      <c r="D52" s="252"/>
      <c r="E52" s="252"/>
      <c r="F52" s="252"/>
      <c r="G52" s="254"/>
    </row>
    <row r="55" spans="1:7" ht="15">
      <c r="B55" s="256" t="s">
        <v>39</v>
      </c>
      <c r="C55" s="257"/>
    </row>
    <row r="56" spans="1:7">
      <c r="B56" s="259" t="s">
        <v>40</v>
      </c>
      <c r="C56" s="260">
        <f ca="1">ROUND(C51/C52,3)</f>
        <v>8.1000000000000003E-2</v>
      </c>
    </row>
    <row r="57" spans="1:7">
      <c r="B57" s="259" t="s">
        <v>41</v>
      </c>
      <c r="C57" s="261">
        <f ca="1">1-C56</f>
        <v>0.91900000000000004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462" t="s">
        <v>2837</v>
      </c>
      <c r="B1" s="3462"/>
      <c r="C1" s="3462"/>
      <c r="D1" s="3462"/>
      <c r="E1" s="3462"/>
      <c r="F1" s="3462"/>
      <c r="G1" s="3463"/>
      <c r="I1" s="2911" t="s">
        <v>2838</v>
      </c>
      <c r="J1" s="2912" t="s">
        <v>2839</v>
      </c>
      <c r="K1" s="2912" t="s">
        <v>2840</v>
      </c>
      <c r="L1" s="2912" t="s">
        <v>2841</v>
      </c>
      <c r="M1" s="2912" t="s">
        <v>2842</v>
      </c>
      <c r="N1" s="2912" t="s">
        <v>2843</v>
      </c>
      <c r="O1" s="2912" t="s">
        <v>2844</v>
      </c>
      <c r="P1" s="2912" t="s">
        <v>2845</v>
      </c>
      <c r="Q1" s="2912" t="s">
        <v>2846</v>
      </c>
      <c r="R1" s="2912" t="s">
        <v>2847</v>
      </c>
      <c r="S1" s="2912" t="s">
        <v>2848</v>
      </c>
      <c r="T1" s="2913" t="s">
        <v>2849</v>
      </c>
    </row>
    <row r="2" spans="1:20" ht="12" thickBot="1">
      <c r="A2" s="2914" t="s">
        <v>2850</v>
      </c>
      <c r="B2" s="2914"/>
      <c r="C2" s="2914"/>
      <c r="D2" s="2914"/>
      <c r="E2" s="2914"/>
      <c r="F2" s="2914"/>
      <c r="G2" s="2915" t="s">
        <v>2851</v>
      </c>
      <c r="I2" s="2916" t="s">
        <v>2852</v>
      </c>
      <c r="J2" s="2916" t="s">
        <v>2853</v>
      </c>
      <c r="K2" s="2916" t="s">
        <v>2854</v>
      </c>
      <c r="L2" s="2916" t="s">
        <v>2855</v>
      </c>
      <c r="M2" s="2916" t="s">
        <v>2856</v>
      </c>
      <c r="N2" s="2916" t="s">
        <v>2857</v>
      </c>
      <c r="O2" s="2916" t="s">
        <v>2858</v>
      </c>
      <c r="P2" s="2916" t="s">
        <v>2859</v>
      </c>
      <c r="Q2" s="2916" t="s">
        <v>2860</v>
      </c>
      <c r="R2" s="2916" t="s">
        <v>2861</v>
      </c>
      <c r="S2" s="2916" t="s">
        <v>2862</v>
      </c>
      <c r="T2" s="2916" t="s">
        <v>2863</v>
      </c>
    </row>
    <row r="3" spans="1:20" s="2922" customFormat="1">
      <c r="A3" s="3460" t="s">
        <v>2864</v>
      </c>
      <c r="B3" s="2917"/>
      <c r="C3" s="2918" t="s">
        <v>2809</v>
      </c>
      <c r="D3" s="2918" t="s">
        <v>2865</v>
      </c>
      <c r="E3" s="2918" t="s">
        <v>2811</v>
      </c>
      <c r="F3" s="2918" t="s">
        <v>2866</v>
      </c>
      <c r="G3" s="2918" t="s">
        <v>2629</v>
      </c>
      <c r="H3" s="2919"/>
      <c r="I3" s="2920" t="s">
        <v>2867</v>
      </c>
      <c r="J3" s="2921" t="s">
        <v>128</v>
      </c>
      <c r="K3" s="2921" t="s">
        <v>129</v>
      </c>
      <c r="L3" s="2920" t="s">
        <v>130</v>
      </c>
      <c r="M3" s="2920" t="s">
        <v>131</v>
      </c>
      <c r="N3" s="2920" t="s">
        <v>132</v>
      </c>
      <c r="O3" s="2920" t="s">
        <v>133</v>
      </c>
      <c r="P3" s="2920" t="s">
        <v>134</v>
      </c>
      <c r="Q3" s="2920" t="s">
        <v>135</v>
      </c>
      <c r="R3" s="2920" t="s">
        <v>136</v>
      </c>
      <c r="S3" s="2920" t="s">
        <v>2868</v>
      </c>
      <c r="T3" s="2920" t="s">
        <v>2869</v>
      </c>
    </row>
    <row r="4" spans="1:20" s="2922" customFormat="1" ht="12" thickBot="1">
      <c r="A4" s="3461"/>
      <c r="B4" s="2923" t="s">
        <v>2870</v>
      </c>
      <c r="C4" s="2923" t="s">
        <v>2871</v>
      </c>
      <c r="D4" s="2923" t="s">
        <v>2871</v>
      </c>
      <c r="E4" s="2923" t="s">
        <v>2871</v>
      </c>
      <c r="F4" s="2924" t="s">
        <v>2871</v>
      </c>
      <c r="G4" s="2924" t="s">
        <v>2871</v>
      </c>
      <c r="H4" s="2919"/>
      <c r="I4" s="2921" t="s">
        <v>137</v>
      </c>
      <c r="J4" s="2921" t="s">
        <v>111</v>
      </c>
      <c r="K4" s="2921" t="s">
        <v>138</v>
      </c>
      <c r="L4" s="2920" t="s">
        <v>139</v>
      </c>
      <c r="M4" s="2920" t="s">
        <v>140</v>
      </c>
      <c r="N4" s="2920" t="s">
        <v>141</v>
      </c>
      <c r="O4" s="2920" t="s">
        <v>142</v>
      </c>
      <c r="P4" s="2920" t="s">
        <v>143</v>
      </c>
      <c r="Q4" s="2920" t="s">
        <v>2872</v>
      </c>
      <c r="R4" s="2920" t="s">
        <v>2873</v>
      </c>
      <c r="S4" s="2920" t="s">
        <v>2874</v>
      </c>
      <c r="T4" s="2920" t="s">
        <v>2875</v>
      </c>
    </row>
    <row r="5" spans="1:20">
      <c r="A5" s="2925" t="s">
        <v>2838</v>
      </c>
      <c r="B5" s="2916" t="s">
        <v>2852</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2876</v>
      </c>
      <c r="R5" s="2920" t="s">
        <v>2877</v>
      </c>
      <c r="S5" s="2920" t="s">
        <v>153</v>
      </c>
      <c r="T5" s="2920" t="s">
        <v>2878</v>
      </c>
    </row>
    <row r="6" spans="1:20" ht="12" thickBot="1">
      <c r="A6" s="2920" t="s">
        <v>144</v>
      </c>
      <c r="B6" s="2920" t="s">
        <v>2867</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2879</v>
      </c>
      <c r="Q6" s="2920" t="s">
        <v>2880</v>
      </c>
      <c r="R6" s="2920" t="s">
        <v>161</v>
      </c>
      <c r="S6" s="2920" t="s">
        <v>2881</v>
      </c>
      <c r="T6" s="2920" t="s">
        <v>2882</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2883</v>
      </c>
      <c r="Q7" s="2920" t="s">
        <v>2884</v>
      </c>
      <c r="R7" s="2920" t="s">
        <v>2885</v>
      </c>
      <c r="S7" s="2920" t="s">
        <v>2886</v>
      </c>
      <c r="T7" s="2920" t="s">
        <v>2887</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2888</v>
      </c>
      <c r="Q8" s="2920" t="s">
        <v>174</v>
      </c>
      <c r="R8" s="2920" t="s">
        <v>2889</v>
      </c>
      <c r="S8" s="2920" t="s">
        <v>2890</v>
      </c>
      <c r="T8" s="2927" t="s">
        <v>2891</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2892</v>
      </c>
      <c r="Q9" s="2920" t="s">
        <v>182</v>
      </c>
      <c r="R9" s="2920" t="s">
        <v>183</v>
      </c>
      <c r="S9" s="2920" t="s">
        <v>200</v>
      </c>
    </row>
    <row r="10" spans="1:20">
      <c r="A10" s="2925" t="s">
        <v>184</v>
      </c>
      <c r="B10" s="2916" t="s">
        <v>2853</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2893</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2894</v>
      </c>
      <c r="P11" s="2920" t="s">
        <v>191</v>
      </c>
      <c r="Q11" s="2920" t="s">
        <v>199</v>
      </c>
      <c r="R11" s="2920" t="s">
        <v>2895</v>
      </c>
      <c r="S11" s="2920" t="s">
        <v>2896</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2897</v>
      </c>
      <c r="P12" s="2920" t="s">
        <v>2898</v>
      </c>
      <c r="Q12" s="2920" t="s">
        <v>2899</v>
      </c>
      <c r="R12" s="2920" t="s">
        <v>2900</v>
      </c>
      <c r="S12" s="2920" t="s">
        <v>2901</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2902</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2903</v>
      </c>
      <c r="K14" s="2921" t="s">
        <v>215</v>
      </c>
      <c r="L14" s="2920" t="s">
        <v>216</v>
      </c>
      <c r="M14" s="2920" t="s">
        <v>217</v>
      </c>
      <c r="N14" s="2920" t="s">
        <v>218</v>
      </c>
      <c r="O14" s="2920" t="s">
        <v>240</v>
      </c>
      <c r="P14" s="2920" t="s">
        <v>213</v>
      </c>
      <c r="Q14" s="2920" t="s">
        <v>2904</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2905</v>
      </c>
      <c r="P15" s="2920" t="s">
        <v>2906</v>
      </c>
      <c r="Q15" s="2920" t="s">
        <v>242</v>
      </c>
      <c r="R15" s="2920" t="s">
        <v>2907</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2908</v>
      </c>
      <c r="P16" s="2920" t="s">
        <v>227</v>
      </c>
      <c r="Q16" s="2920" t="s">
        <v>250</v>
      </c>
      <c r="R16" s="2920" t="s">
        <v>207</v>
      </c>
      <c r="S16" s="2920" t="s">
        <v>2909</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2910</v>
      </c>
      <c r="P17" s="2920" t="s">
        <v>2911</v>
      </c>
      <c r="Q17" s="2920" t="s">
        <v>256</v>
      </c>
      <c r="R17" s="2920" t="s">
        <v>2912</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2913</v>
      </c>
      <c r="P18" s="2920" t="s">
        <v>241</v>
      </c>
      <c r="Q18" s="2920" t="s">
        <v>2914</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2915</v>
      </c>
      <c r="P19" s="2920" t="s">
        <v>249</v>
      </c>
      <c r="Q19" s="2920" t="s">
        <v>2916</v>
      </c>
      <c r="R19" s="2920" t="s">
        <v>265</v>
      </c>
      <c r="S19" s="2920" t="s">
        <v>2917</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2918</v>
      </c>
      <c r="P20" s="2920" t="s">
        <v>2919</v>
      </c>
      <c r="Q20" s="2920" t="s">
        <v>290</v>
      </c>
      <c r="R20" s="2920" t="s">
        <v>2920</v>
      </c>
      <c r="S20" s="2920" t="s">
        <v>277</v>
      </c>
    </row>
    <row r="21" spans="1:19" ht="14.25" customHeight="1" thickBot="1">
      <c r="A21" s="2920" t="s">
        <v>184</v>
      </c>
      <c r="B21" s="2921" t="s">
        <v>208</v>
      </c>
      <c r="C21" s="2920">
        <v>32370</v>
      </c>
      <c r="D21" s="2920">
        <v>26730</v>
      </c>
      <c r="E21" s="2920">
        <v>26640</v>
      </c>
      <c r="F21" s="2920"/>
      <c r="G21" s="2920">
        <v>19440</v>
      </c>
      <c r="J21" s="2927" t="s">
        <v>2921</v>
      </c>
      <c r="K21" s="2921" t="s">
        <v>267</v>
      </c>
      <c r="L21" s="2920" t="s">
        <v>268</v>
      </c>
      <c r="M21" s="2920" t="s">
        <v>269</v>
      </c>
      <c r="N21" s="2920" t="s">
        <v>270</v>
      </c>
      <c r="O21" s="2920" t="s">
        <v>264</v>
      </c>
      <c r="P21" s="2920" t="s">
        <v>283</v>
      </c>
      <c r="Q21" s="2920" t="s">
        <v>293</v>
      </c>
      <c r="R21" s="2920" t="s">
        <v>2922</v>
      </c>
      <c r="S21" s="2927" t="s">
        <v>2923</v>
      </c>
    </row>
    <row r="22" spans="1:19" ht="14.25" customHeight="1">
      <c r="A22" s="2920" t="s">
        <v>184</v>
      </c>
      <c r="B22" s="2921" t="s">
        <v>2903</v>
      </c>
      <c r="C22" s="2920">
        <v>29830</v>
      </c>
      <c r="D22" s="2920">
        <v>27600</v>
      </c>
      <c r="E22" s="2920">
        <v>28150</v>
      </c>
      <c r="F22" s="2920"/>
      <c r="G22" s="2920">
        <v>20080</v>
      </c>
      <c r="K22" s="2921" t="s">
        <v>2924</v>
      </c>
      <c r="L22" s="2920" t="s">
        <v>272</v>
      </c>
      <c r="M22" s="2920" t="s">
        <v>273</v>
      </c>
      <c r="N22" s="2920" t="s">
        <v>274</v>
      </c>
      <c r="O22" s="2920" t="s">
        <v>2925</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2926</v>
      </c>
      <c r="L23" s="2920" t="s">
        <v>278</v>
      </c>
      <c r="M23" s="2920" t="s">
        <v>279</v>
      </c>
      <c r="N23" s="2920" t="s">
        <v>2927</v>
      </c>
      <c r="O23" s="2920" t="s">
        <v>2928</v>
      </c>
      <c r="P23" s="2920" t="s">
        <v>289</v>
      </c>
      <c r="Q23" s="2920" t="s">
        <v>298</v>
      </c>
      <c r="R23" s="2920" t="s">
        <v>2929</v>
      </c>
    </row>
    <row r="24" spans="1:19" ht="14.25" customHeight="1">
      <c r="A24" s="2920" t="s">
        <v>184</v>
      </c>
      <c r="B24" s="2921" t="s">
        <v>230</v>
      </c>
      <c r="C24" s="2920">
        <v>27930</v>
      </c>
      <c r="D24" s="2920">
        <v>32260</v>
      </c>
      <c r="E24" s="2920">
        <v>32120</v>
      </c>
      <c r="F24" s="2920"/>
      <c r="G24" s="2920">
        <v>23470</v>
      </c>
      <c r="K24" s="2921" t="s">
        <v>2930</v>
      </c>
      <c r="L24" s="2920" t="s">
        <v>281</v>
      </c>
      <c r="M24" s="2920" t="s">
        <v>282</v>
      </c>
      <c r="N24" s="2920" t="s">
        <v>2931</v>
      </c>
      <c r="O24" s="2920" t="s">
        <v>285</v>
      </c>
      <c r="P24" s="2920" t="s">
        <v>2932</v>
      </c>
      <c r="Q24" s="2929" t="s">
        <v>2933</v>
      </c>
      <c r="R24" s="2920" t="s">
        <v>2934</v>
      </c>
    </row>
    <row r="25" spans="1:19" ht="14.25" customHeight="1">
      <c r="A25" s="2920" t="s">
        <v>184</v>
      </c>
      <c r="B25" s="2921" t="s">
        <v>235</v>
      </c>
      <c r="C25" s="2920">
        <v>32230</v>
      </c>
      <c r="D25" s="2920">
        <v>29640</v>
      </c>
      <c r="E25" s="2920">
        <v>29510</v>
      </c>
      <c r="F25" s="2920"/>
      <c r="G25" s="2920">
        <v>21560</v>
      </c>
      <c r="K25" s="2921" t="s">
        <v>2935</v>
      </c>
      <c r="L25" s="2920" t="s">
        <v>2936</v>
      </c>
      <c r="M25" s="2920" t="s">
        <v>284</v>
      </c>
      <c r="N25" s="2920" t="s">
        <v>292</v>
      </c>
      <c r="O25" s="2920" t="s">
        <v>288</v>
      </c>
      <c r="P25" s="2920" t="s">
        <v>275</v>
      </c>
      <c r="Q25" s="2929" t="s">
        <v>271</v>
      </c>
      <c r="R25" s="2920" t="s">
        <v>2937</v>
      </c>
    </row>
    <row r="26" spans="1:19" ht="14.25" customHeight="1" thickBot="1">
      <c r="A26" s="2920" t="s">
        <v>184</v>
      </c>
      <c r="B26" s="2921" t="s">
        <v>244</v>
      </c>
      <c r="C26" s="2920">
        <v>31690</v>
      </c>
      <c r="D26" s="2920">
        <v>27650</v>
      </c>
      <c r="E26" s="2920">
        <v>28200</v>
      </c>
      <c r="F26" s="2920"/>
      <c r="G26" s="2920">
        <v>20110</v>
      </c>
      <c r="K26" s="2926" t="s">
        <v>2938</v>
      </c>
      <c r="L26" s="2920" t="s">
        <v>2939</v>
      </c>
      <c r="M26" s="2920" t="s">
        <v>287</v>
      </c>
      <c r="N26" s="2920" t="s">
        <v>294</v>
      </c>
      <c r="O26" s="2920" t="s">
        <v>2940</v>
      </c>
      <c r="P26" s="2920" t="s">
        <v>2941</v>
      </c>
      <c r="Q26" s="2929" t="s">
        <v>276</v>
      </c>
      <c r="R26" s="2920" t="s">
        <v>2942</v>
      </c>
    </row>
    <row r="27" spans="1:19" ht="14.25" customHeight="1">
      <c r="A27" s="2920" t="s">
        <v>184</v>
      </c>
      <c r="B27" s="2921" t="s">
        <v>251</v>
      </c>
      <c r="C27" s="2920">
        <v>29610</v>
      </c>
      <c r="D27" s="2920">
        <v>27770</v>
      </c>
      <c r="E27" s="2920">
        <v>28300</v>
      </c>
      <c r="F27" s="2920"/>
      <c r="G27" s="2920">
        <v>20210</v>
      </c>
      <c r="L27" s="2920" t="s">
        <v>2943</v>
      </c>
      <c r="M27" s="2920" t="s">
        <v>291</v>
      </c>
      <c r="N27" s="2920" t="s">
        <v>297</v>
      </c>
      <c r="O27" s="2920" t="s">
        <v>2944</v>
      </c>
      <c r="P27" s="2920" t="s">
        <v>2945</v>
      </c>
      <c r="Q27" s="2920" t="s">
        <v>2946</v>
      </c>
      <c r="R27" s="2920" t="s">
        <v>2947</v>
      </c>
    </row>
    <row r="28" spans="1:19" ht="14.25" customHeight="1">
      <c r="A28" s="2920" t="s">
        <v>184</v>
      </c>
      <c r="B28" s="2921" t="s">
        <v>259</v>
      </c>
      <c r="C28" s="2920"/>
      <c r="D28" s="2920">
        <v>31520</v>
      </c>
      <c r="E28" s="2920">
        <v>31410</v>
      </c>
      <c r="F28" s="2920"/>
      <c r="G28" s="2920">
        <v>22940</v>
      </c>
      <c r="L28" s="2920" t="s">
        <v>2948</v>
      </c>
      <c r="M28" s="2920" t="s">
        <v>2949</v>
      </c>
      <c r="N28" s="2920" t="s">
        <v>2950</v>
      </c>
      <c r="O28" s="2920" t="s">
        <v>2951</v>
      </c>
      <c r="P28" s="2920" t="s">
        <v>2952</v>
      </c>
      <c r="Q28" s="2920" t="s">
        <v>2953</v>
      </c>
      <c r="R28" s="2920" t="s">
        <v>2954</v>
      </c>
    </row>
    <row r="29" spans="1:19" ht="14.25" customHeight="1" thickBot="1">
      <c r="A29" s="2928" t="s">
        <v>184</v>
      </c>
      <c r="B29" s="2930" t="s">
        <v>2921</v>
      </c>
      <c r="C29" s="2931"/>
      <c r="D29" s="2931">
        <v>29460</v>
      </c>
      <c r="E29" s="2931">
        <v>28640</v>
      </c>
      <c r="F29" s="2931"/>
      <c r="G29" s="2931">
        <v>21430</v>
      </c>
      <c r="L29" s="2920" t="s">
        <v>2955</v>
      </c>
      <c r="M29" s="2920" t="s">
        <v>2956</v>
      </c>
      <c r="N29" s="2920" t="s">
        <v>2957</v>
      </c>
      <c r="O29" s="2920" t="s">
        <v>2958</v>
      </c>
      <c r="P29" s="2920" t="s">
        <v>2959</v>
      </c>
      <c r="Q29" s="2920" t="s">
        <v>2960</v>
      </c>
      <c r="R29" s="2920" t="s">
        <v>280</v>
      </c>
    </row>
    <row r="30" spans="1:19" ht="14.25" customHeight="1">
      <c r="A30" s="2925" t="s">
        <v>296</v>
      </c>
      <c r="B30" s="2916" t="s">
        <v>2854</v>
      </c>
      <c r="C30" s="2916">
        <v>26890</v>
      </c>
      <c r="D30" s="2916">
        <v>26770</v>
      </c>
      <c r="E30" s="2916">
        <v>25700</v>
      </c>
      <c r="F30" s="2916">
        <v>8180</v>
      </c>
      <c r="G30" s="2932">
        <v>18740</v>
      </c>
      <c r="L30" s="2920" t="s">
        <v>2961</v>
      </c>
      <c r="M30" s="2920" t="s">
        <v>2962</v>
      </c>
      <c r="N30" s="2920" t="s">
        <v>2963</v>
      </c>
      <c r="O30" s="2920" t="s">
        <v>2964</v>
      </c>
      <c r="P30" s="2920" t="s">
        <v>2965</v>
      </c>
      <c r="Q30" s="2920" t="s">
        <v>2966</v>
      </c>
      <c r="R30" s="2920" t="s">
        <v>2967</v>
      </c>
    </row>
    <row r="31" spans="1:19" ht="14.25" customHeight="1">
      <c r="A31" s="2920" t="s">
        <v>296</v>
      </c>
      <c r="B31" s="2921" t="s">
        <v>129</v>
      </c>
      <c r="C31" s="2920">
        <v>24550</v>
      </c>
      <c r="D31" s="2920">
        <v>23990</v>
      </c>
      <c r="E31" s="2920">
        <v>22930</v>
      </c>
      <c r="F31" s="2920">
        <v>7470</v>
      </c>
      <c r="G31" s="2933">
        <v>16790</v>
      </c>
      <c r="L31" s="2920" t="s">
        <v>2968</v>
      </c>
      <c r="M31" s="2920" t="s">
        <v>2969</v>
      </c>
      <c r="N31" s="2920" t="s">
        <v>2970</v>
      </c>
      <c r="O31" s="2920" t="s">
        <v>2971</v>
      </c>
      <c r="P31" s="2920" t="s">
        <v>2972</v>
      </c>
      <c r="Q31" s="2920" t="s">
        <v>2973</v>
      </c>
      <c r="R31" s="2920" t="s">
        <v>2974</v>
      </c>
    </row>
    <row r="32" spans="1:19" ht="14.25" customHeight="1" thickBot="1">
      <c r="A32" s="2920" t="s">
        <v>296</v>
      </c>
      <c r="B32" s="2921" t="s">
        <v>138</v>
      </c>
      <c r="C32" s="2920">
        <v>27210</v>
      </c>
      <c r="D32" s="2920">
        <v>23240</v>
      </c>
      <c r="E32" s="2920">
        <v>23260</v>
      </c>
      <c r="F32" s="2920">
        <v>7130</v>
      </c>
      <c r="G32" s="2933">
        <v>16270</v>
      </c>
      <c r="L32" s="2920" t="s">
        <v>2975</v>
      </c>
      <c r="M32" s="2920" t="s">
        <v>2976</v>
      </c>
      <c r="N32" s="2920" t="s">
        <v>300</v>
      </c>
      <c r="O32" s="2920" t="s">
        <v>2977</v>
      </c>
      <c r="P32" s="2920" t="s">
        <v>299</v>
      </c>
      <c r="Q32" s="2920" t="s">
        <v>2978</v>
      </c>
      <c r="R32" s="2927" t="s">
        <v>2979</v>
      </c>
    </row>
    <row r="33" spans="1:17" ht="14.25" customHeight="1" thickBot="1">
      <c r="A33" s="2920" t="s">
        <v>296</v>
      </c>
      <c r="B33" s="2921" t="s">
        <v>147</v>
      </c>
      <c r="C33" s="2920">
        <v>27300</v>
      </c>
      <c r="D33" s="2920">
        <v>22980</v>
      </c>
      <c r="E33" s="2920">
        <v>24260</v>
      </c>
      <c r="F33" s="2920">
        <v>5860</v>
      </c>
      <c r="G33" s="2933">
        <v>16090</v>
      </c>
      <c r="L33" s="2927" t="s">
        <v>2980</v>
      </c>
      <c r="M33" s="2920" t="s">
        <v>2981</v>
      </c>
      <c r="N33" s="2920" t="s">
        <v>301</v>
      </c>
      <c r="O33" s="2920" t="s">
        <v>2982</v>
      </c>
      <c r="P33" s="2920" t="s">
        <v>2983</v>
      </c>
      <c r="Q33" s="2920" t="s">
        <v>2984</v>
      </c>
    </row>
    <row r="34" spans="1:17" ht="14.25" customHeight="1">
      <c r="A34" s="2920" t="s">
        <v>296</v>
      </c>
      <c r="B34" s="2921" t="s">
        <v>156</v>
      </c>
      <c r="C34" s="2920">
        <v>23090</v>
      </c>
      <c r="D34" s="2920">
        <v>23390</v>
      </c>
      <c r="E34" s="2920">
        <v>23510</v>
      </c>
      <c r="F34" s="2920">
        <v>6700</v>
      </c>
      <c r="G34" s="2933">
        <v>16370</v>
      </c>
      <c r="M34" s="2920" t="s">
        <v>2985</v>
      </c>
      <c r="N34" s="2920" t="s">
        <v>302</v>
      </c>
      <c r="O34" s="2920" t="s">
        <v>2986</v>
      </c>
      <c r="P34" s="2920" t="s">
        <v>2987</v>
      </c>
      <c r="Q34" s="2920" t="s">
        <v>2988</v>
      </c>
    </row>
    <row r="35" spans="1:17" ht="14.25" customHeight="1">
      <c r="A35" s="2920" t="s">
        <v>296</v>
      </c>
      <c r="B35" s="2921" t="s">
        <v>163</v>
      </c>
      <c r="C35" s="2920">
        <v>27270</v>
      </c>
      <c r="D35" s="2920">
        <v>24270</v>
      </c>
      <c r="E35" s="2920">
        <v>24950</v>
      </c>
      <c r="F35" s="2920">
        <v>6600</v>
      </c>
      <c r="G35" s="2933">
        <v>16990</v>
      </c>
      <c r="M35" s="2920" t="s">
        <v>2989</v>
      </c>
      <c r="N35" s="2920" t="s">
        <v>2990</v>
      </c>
      <c r="O35" s="2920" t="s">
        <v>2991</v>
      </c>
      <c r="P35" s="2920" t="s">
        <v>2992</v>
      </c>
      <c r="Q35" s="2920" t="s">
        <v>2993</v>
      </c>
    </row>
    <row r="36" spans="1:17" ht="14.25" customHeight="1">
      <c r="A36" s="2920" t="s">
        <v>296</v>
      </c>
      <c r="B36" s="2921" t="s">
        <v>169</v>
      </c>
      <c r="C36" s="2920">
        <v>23490</v>
      </c>
      <c r="D36" s="2920">
        <v>23020</v>
      </c>
      <c r="E36" s="2920">
        <v>25230</v>
      </c>
      <c r="F36" s="2920">
        <v>6780</v>
      </c>
      <c r="G36" s="2933">
        <v>16120</v>
      </c>
      <c r="M36" s="2920" t="s">
        <v>2994</v>
      </c>
      <c r="N36" s="2920" t="s">
        <v>2995</v>
      </c>
      <c r="O36" s="2920" t="s">
        <v>2996</v>
      </c>
      <c r="P36" s="2920" t="s">
        <v>2997</v>
      </c>
      <c r="Q36" s="2920" t="s">
        <v>2998</v>
      </c>
    </row>
    <row r="37" spans="1:17" ht="14.25" customHeight="1">
      <c r="A37" s="2920" t="s">
        <v>296</v>
      </c>
      <c r="B37" s="2921" t="s">
        <v>176</v>
      </c>
      <c r="C37" s="2920">
        <v>24380</v>
      </c>
      <c r="D37" s="2920">
        <v>22240</v>
      </c>
      <c r="E37" s="2920">
        <v>25980</v>
      </c>
      <c r="F37" s="2920">
        <v>8160</v>
      </c>
      <c r="G37" s="2933">
        <v>15570</v>
      </c>
      <c r="M37" s="2920" t="s">
        <v>2999</v>
      </c>
      <c r="N37" s="2920" t="s">
        <v>3000</v>
      </c>
      <c r="O37" s="2920" t="s">
        <v>3001</v>
      </c>
      <c r="P37" s="2920" t="s">
        <v>3002</v>
      </c>
      <c r="Q37" s="2920" t="s">
        <v>3003</v>
      </c>
    </row>
    <row r="38" spans="1:17" ht="14.25" customHeight="1">
      <c r="A38" s="2920" t="s">
        <v>296</v>
      </c>
      <c r="B38" s="2921" t="s">
        <v>186</v>
      </c>
      <c r="C38" s="2920">
        <v>23120</v>
      </c>
      <c r="D38" s="2920">
        <v>24630</v>
      </c>
      <c r="E38" s="2920">
        <v>25030</v>
      </c>
      <c r="F38" s="2920">
        <v>7710</v>
      </c>
      <c r="G38" s="2933">
        <v>17240</v>
      </c>
      <c r="M38" s="2920" t="s">
        <v>3004</v>
      </c>
      <c r="N38" s="2920" t="s">
        <v>3005</v>
      </c>
      <c r="O38" s="2920" t="s">
        <v>3006</v>
      </c>
      <c r="P38" s="2920" t="s">
        <v>3007</v>
      </c>
      <c r="Q38" s="2920" t="s">
        <v>3008</v>
      </c>
    </row>
    <row r="39" spans="1:17" ht="14.25" customHeight="1">
      <c r="A39" s="2920" t="s">
        <v>296</v>
      </c>
      <c r="B39" s="2921" t="s">
        <v>195</v>
      </c>
      <c r="C39" s="2920">
        <v>22330</v>
      </c>
      <c r="D39" s="2920">
        <v>21140</v>
      </c>
      <c r="E39" s="2920">
        <v>23970</v>
      </c>
      <c r="F39" s="2920">
        <v>7940</v>
      </c>
      <c r="G39" s="2933">
        <v>14790</v>
      </c>
      <c r="M39" s="2920" t="s">
        <v>3009</v>
      </c>
      <c r="N39" s="2920" t="s">
        <v>3010</v>
      </c>
      <c r="O39" s="2920" t="s">
        <v>3011</v>
      </c>
      <c r="P39" s="2920" t="s">
        <v>3012</v>
      </c>
      <c r="Q39" s="2920" t="s">
        <v>3013</v>
      </c>
    </row>
    <row r="40" spans="1:17" ht="14.25" customHeight="1">
      <c r="A40" s="2920" t="s">
        <v>296</v>
      </c>
      <c r="B40" s="2921" t="s">
        <v>202</v>
      </c>
      <c r="C40" s="2920">
        <v>24740</v>
      </c>
      <c r="D40" s="2920">
        <v>24690</v>
      </c>
      <c r="E40" s="2920">
        <v>22610</v>
      </c>
      <c r="F40" s="2920"/>
      <c r="G40" s="2933">
        <v>17280</v>
      </c>
      <c r="M40" s="2920" t="s">
        <v>3014</v>
      </c>
      <c r="N40" s="2920" t="s">
        <v>3015</v>
      </c>
      <c r="O40" s="2920" t="s">
        <v>3016</v>
      </c>
      <c r="P40" s="2920" t="s">
        <v>3017</v>
      </c>
      <c r="Q40" s="2920" t="s">
        <v>3018</v>
      </c>
    </row>
    <row r="41" spans="1:17" ht="14.25" customHeight="1" thickBot="1">
      <c r="A41" s="2920" t="s">
        <v>296</v>
      </c>
      <c r="B41" s="2921" t="s">
        <v>209</v>
      </c>
      <c r="C41" s="2920">
        <v>21220</v>
      </c>
      <c r="D41" s="2920">
        <v>21120</v>
      </c>
      <c r="E41" s="2920">
        <v>22590</v>
      </c>
      <c r="F41" s="2920"/>
      <c r="G41" s="2933">
        <v>14780</v>
      </c>
      <c r="M41" s="2927" t="s">
        <v>3019</v>
      </c>
      <c r="N41" s="2920" t="s">
        <v>3020</v>
      </c>
      <c r="O41" s="2920" t="s">
        <v>3021</v>
      </c>
      <c r="P41" s="2920" t="s">
        <v>3022</v>
      </c>
      <c r="Q41" s="2920" t="s">
        <v>3023</v>
      </c>
    </row>
    <row r="42" spans="1:17" ht="14.25" customHeight="1">
      <c r="A42" s="2920" t="s">
        <v>296</v>
      </c>
      <c r="B42" s="2921" t="s">
        <v>215</v>
      </c>
      <c r="C42" s="2920">
        <v>24800</v>
      </c>
      <c r="D42" s="2920">
        <v>22280</v>
      </c>
      <c r="E42" s="2920">
        <v>24350</v>
      </c>
      <c r="F42" s="2920"/>
      <c r="G42" s="2933">
        <v>15590</v>
      </c>
      <c r="N42" s="2920" t="s">
        <v>3024</v>
      </c>
      <c r="O42" s="2920" t="s">
        <v>3025</v>
      </c>
      <c r="P42" s="2920" t="s">
        <v>3026</v>
      </c>
      <c r="Q42" s="2920" t="s">
        <v>3027</v>
      </c>
    </row>
    <row r="43" spans="1:17" ht="14.25" customHeight="1">
      <c r="A43" s="2920" t="s">
        <v>3028</v>
      </c>
      <c r="B43" s="2921" t="s">
        <v>223</v>
      </c>
      <c r="C43" s="2920">
        <v>21210</v>
      </c>
      <c r="D43" s="2920">
        <v>21160</v>
      </c>
      <c r="E43" s="2920">
        <v>22650</v>
      </c>
      <c r="F43" s="2920"/>
      <c r="G43" s="2933">
        <v>14800</v>
      </c>
      <c r="N43" s="2920" t="s">
        <v>3029</v>
      </c>
      <c r="O43" s="2920" t="s">
        <v>3030</v>
      </c>
      <c r="P43" s="2920" t="s">
        <v>3031</v>
      </c>
      <c r="Q43" s="2920" t="s">
        <v>3032</v>
      </c>
    </row>
    <row r="44" spans="1:17" ht="14.25" customHeight="1" thickBot="1">
      <c r="A44" s="2920" t="s">
        <v>296</v>
      </c>
      <c r="B44" s="2921" t="s">
        <v>231</v>
      </c>
      <c r="C44" s="2920">
        <v>22370</v>
      </c>
      <c r="D44" s="2920">
        <v>23140</v>
      </c>
      <c r="E44" s="2920">
        <v>25090</v>
      </c>
      <c r="F44" s="2920"/>
      <c r="G44" s="2933">
        <v>16190</v>
      </c>
      <c r="N44" s="2920" t="s">
        <v>3033</v>
      </c>
      <c r="O44" s="2920" t="s">
        <v>3034</v>
      </c>
      <c r="P44" s="2927" t="s">
        <v>3035</v>
      </c>
      <c r="Q44" s="2920" t="s">
        <v>3036</v>
      </c>
    </row>
    <row r="45" spans="1:17" ht="14.25" customHeight="1" thickBot="1">
      <c r="A45" s="2920" t="s">
        <v>296</v>
      </c>
      <c r="B45" s="2921" t="s">
        <v>236</v>
      </c>
      <c r="C45" s="2920">
        <v>21240</v>
      </c>
      <c r="D45" s="2920">
        <v>27050</v>
      </c>
      <c r="E45" s="2920">
        <v>28000</v>
      </c>
      <c r="F45" s="2920"/>
      <c r="G45" s="2933">
        <v>18940</v>
      </c>
      <c r="N45" s="2920" t="s">
        <v>3037</v>
      </c>
      <c r="O45" s="2927" t="s">
        <v>3038</v>
      </c>
      <c r="Q45" s="2920" t="s">
        <v>3039</v>
      </c>
    </row>
    <row r="46" spans="1:17" ht="14.25" customHeight="1">
      <c r="A46" s="2920" t="s">
        <v>296</v>
      </c>
      <c r="B46" s="2921" t="s">
        <v>245</v>
      </c>
      <c r="C46" s="2920">
        <v>23240</v>
      </c>
      <c r="D46" s="2920">
        <v>23000</v>
      </c>
      <c r="E46" s="2920">
        <v>24980</v>
      </c>
      <c r="F46" s="2920"/>
      <c r="G46" s="2933">
        <v>16100</v>
      </c>
      <c r="N46" s="2920" t="s">
        <v>3040</v>
      </c>
      <c r="Q46" s="2920" t="s">
        <v>3041</v>
      </c>
    </row>
    <row r="47" spans="1:17" ht="14.25" customHeight="1">
      <c r="A47" s="2920" t="s">
        <v>296</v>
      </c>
      <c r="B47" s="2921" t="s">
        <v>252</v>
      </c>
      <c r="C47" s="2920">
        <v>27150</v>
      </c>
      <c r="D47" s="2920">
        <v>23310</v>
      </c>
      <c r="E47" s="2920">
        <v>25150</v>
      </c>
      <c r="F47" s="2920"/>
      <c r="G47" s="2933">
        <v>16310</v>
      </c>
      <c r="N47" s="2920" t="s">
        <v>3042</v>
      </c>
      <c r="Q47" s="2920" t="s">
        <v>3043</v>
      </c>
    </row>
    <row r="48" spans="1:17" ht="14.25" customHeight="1">
      <c r="A48" s="2920" t="s">
        <v>296</v>
      </c>
      <c r="B48" s="2921" t="s">
        <v>260</v>
      </c>
      <c r="C48" s="2920">
        <v>23100</v>
      </c>
      <c r="D48" s="2920">
        <v>21110</v>
      </c>
      <c r="E48" s="2920">
        <v>23080</v>
      </c>
      <c r="F48" s="2920"/>
      <c r="G48" s="2933">
        <v>14780</v>
      </c>
      <c r="N48" s="2920" t="s">
        <v>3044</v>
      </c>
      <c r="Q48" s="2920" t="s">
        <v>3045</v>
      </c>
    </row>
    <row r="49" spans="1:17" ht="14.25" customHeight="1">
      <c r="A49" s="2920" t="s">
        <v>296</v>
      </c>
      <c r="B49" s="2921" t="s">
        <v>267</v>
      </c>
      <c r="C49" s="2920">
        <v>23400</v>
      </c>
      <c r="D49" s="2920">
        <v>22920</v>
      </c>
      <c r="E49" s="2920">
        <v>24900</v>
      </c>
      <c r="F49" s="2920"/>
      <c r="G49" s="2933">
        <v>16040</v>
      </c>
      <c r="N49" s="2920" t="s">
        <v>3046</v>
      </c>
      <c r="Q49" s="2920" t="s">
        <v>3047</v>
      </c>
    </row>
    <row r="50" spans="1:17" ht="14.25" customHeight="1">
      <c r="A50" s="2920" t="s">
        <v>296</v>
      </c>
      <c r="B50" s="2921" t="s">
        <v>2924</v>
      </c>
      <c r="C50" s="2920">
        <v>21200</v>
      </c>
      <c r="D50" s="2920">
        <v>26540</v>
      </c>
      <c r="E50" s="2920">
        <v>23200</v>
      </c>
      <c r="F50" s="2920"/>
      <c r="G50" s="2933">
        <v>18580</v>
      </c>
      <c r="N50" s="2920" t="s">
        <v>3048</v>
      </c>
      <c r="Q50" s="2921" t="s">
        <v>3049</v>
      </c>
    </row>
    <row r="51" spans="1:17" ht="14.25" customHeight="1" thickBot="1">
      <c r="A51" s="2920" t="s">
        <v>296</v>
      </c>
      <c r="B51" s="2921" t="s">
        <v>2926</v>
      </c>
      <c r="C51" s="2920">
        <v>23000</v>
      </c>
      <c r="D51" s="2920">
        <v>23460</v>
      </c>
      <c r="E51" s="2920">
        <v>25290</v>
      </c>
      <c r="F51" s="2920"/>
      <c r="G51" s="2933">
        <v>16420</v>
      </c>
      <c r="N51" s="2920" t="s">
        <v>3050</v>
      </c>
      <c r="Q51" s="2927" t="s">
        <v>3051</v>
      </c>
    </row>
    <row r="52" spans="1:17" ht="14.25" customHeight="1">
      <c r="A52" s="2920" t="s">
        <v>296</v>
      </c>
      <c r="B52" s="2921" t="s">
        <v>2930</v>
      </c>
      <c r="C52" s="2920">
        <v>26660</v>
      </c>
      <c r="D52" s="2920">
        <v>22350</v>
      </c>
      <c r="E52" s="2920">
        <v>22920</v>
      </c>
      <c r="F52" s="2920"/>
      <c r="G52" s="2933">
        <v>15640</v>
      </c>
      <c r="N52" s="2920" t="s">
        <v>3052</v>
      </c>
    </row>
    <row r="53" spans="1:17" ht="14.25" customHeight="1">
      <c r="A53" s="2920" t="s">
        <v>296</v>
      </c>
      <c r="B53" s="2921" t="s">
        <v>2935</v>
      </c>
      <c r="C53" s="2920">
        <v>23580</v>
      </c>
      <c r="D53" s="2920"/>
      <c r="E53" s="2920">
        <v>24280</v>
      </c>
      <c r="F53" s="2920"/>
      <c r="G53" s="2933"/>
      <c r="N53" s="2920" t="s">
        <v>3053</v>
      </c>
    </row>
    <row r="54" spans="1:17" ht="14.25" customHeight="1" thickBot="1">
      <c r="A54" s="2934" t="s">
        <v>296</v>
      </c>
      <c r="B54" s="2926" t="s">
        <v>2938</v>
      </c>
      <c r="C54" s="2927">
        <v>22460</v>
      </c>
      <c r="D54" s="2927"/>
      <c r="E54" s="2927"/>
      <c r="F54" s="2927"/>
      <c r="G54" s="2935"/>
      <c r="N54" s="2920" t="s">
        <v>3054</v>
      </c>
    </row>
    <row r="55" spans="1:17" ht="14.25" customHeight="1">
      <c r="A55" s="2925" t="s">
        <v>110</v>
      </c>
      <c r="B55" s="2916" t="s">
        <v>3055</v>
      </c>
      <c r="C55" s="2920">
        <v>21970</v>
      </c>
      <c r="D55" s="2920">
        <v>20370</v>
      </c>
      <c r="E55" s="2920">
        <v>20180</v>
      </c>
      <c r="F55" s="2920">
        <v>5730</v>
      </c>
      <c r="G55" s="2920">
        <v>13820</v>
      </c>
      <c r="N55" s="2920" t="s">
        <v>3056</v>
      </c>
    </row>
    <row r="56" spans="1:17" ht="14.25" customHeight="1">
      <c r="A56" s="2920" t="s">
        <v>110</v>
      </c>
      <c r="B56" s="2920" t="s">
        <v>130</v>
      </c>
      <c r="C56" s="2920">
        <v>20470</v>
      </c>
      <c r="D56" s="2920">
        <v>20700</v>
      </c>
      <c r="E56" s="2920">
        <v>20380</v>
      </c>
      <c r="F56" s="2920">
        <v>4760</v>
      </c>
      <c r="G56" s="2920">
        <v>14050</v>
      </c>
      <c r="N56" s="2920" t="s">
        <v>3057</v>
      </c>
    </row>
    <row r="57" spans="1:17" ht="14.25" customHeight="1">
      <c r="A57" s="2920" t="s">
        <v>110</v>
      </c>
      <c r="B57" s="2920" t="s">
        <v>139</v>
      </c>
      <c r="C57" s="2920">
        <v>20790</v>
      </c>
      <c r="D57" s="2920">
        <v>21370</v>
      </c>
      <c r="E57" s="2920">
        <v>20890</v>
      </c>
      <c r="F57" s="2920">
        <v>4910</v>
      </c>
      <c r="G57" s="2920">
        <v>14510</v>
      </c>
      <c r="N57" s="2920" t="s">
        <v>3058</v>
      </c>
    </row>
    <row r="58" spans="1:17" ht="14.25" customHeight="1">
      <c r="A58" s="2920" t="s">
        <v>110</v>
      </c>
      <c r="B58" s="2920" t="s">
        <v>148</v>
      </c>
      <c r="C58" s="2920">
        <v>21460</v>
      </c>
      <c r="D58" s="2920">
        <v>20920</v>
      </c>
      <c r="E58" s="2920">
        <v>23410</v>
      </c>
      <c r="F58" s="2920">
        <v>5100</v>
      </c>
      <c r="G58" s="2920">
        <v>14200</v>
      </c>
      <c r="N58" s="2920" t="s">
        <v>3059</v>
      </c>
    </row>
    <row r="59" spans="1:17" ht="14.25" customHeight="1">
      <c r="A59" s="2920" t="s">
        <v>110</v>
      </c>
      <c r="B59" s="2920" t="s">
        <v>157</v>
      </c>
      <c r="C59" s="2920">
        <v>21000</v>
      </c>
      <c r="D59" s="2920">
        <v>21550</v>
      </c>
      <c r="E59" s="2920">
        <v>21150</v>
      </c>
      <c r="F59" s="2920">
        <v>5250</v>
      </c>
      <c r="G59" s="2920">
        <v>14630</v>
      </c>
      <c r="N59" s="2920" t="s">
        <v>3060</v>
      </c>
    </row>
    <row r="60" spans="1:17" ht="14.25" customHeight="1">
      <c r="A60" s="2920" t="s">
        <v>110</v>
      </c>
      <c r="B60" s="2920" t="s">
        <v>164</v>
      </c>
      <c r="C60" s="2920">
        <v>21640</v>
      </c>
      <c r="D60" s="2920">
        <v>21260</v>
      </c>
      <c r="E60" s="2920">
        <v>24040</v>
      </c>
      <c r="F60" s="2920">
        <v>4470</v>
      </c>
      <c r="G60" s="2920">
        <v>14430</v>
      </c>
      <c r="N60" s="2920" t="s">
        <v>3061</v>
      </c>
    </row>
    <row r="61" spans="1:17" ht="14.25" customHeight="1">
      <c r="A61" s="2920" t="s">
        <v>110</v>
      </c>
      <c r="B61" s="2920" t="s">
        <v>170</v>
      </c>
      <c r="C61" s="2920">
        <v>21330</v>
      </c>
      <c r="D61" s="2920">
        <v>18640</v>
      </c>
      <c r="E61" s="2920">
        <v>21190</v>
      </c>
      <c r="F61" s="2920">
        <v>4180</v>
      </c>
      <c r="G61" s="2920">
        <v>12650</v>
      </c>
      <c r="N61" s="2920" t="s">
        <v>3062</v>
      </c>
    </row>
    <row r="62" spans="1:17" ht="14.25" customHeight="1">
      <c r="A62" s="2920" t="s">
        <v>110</v>
      </c>
      <c r="B62" s="2920" t="s">
        <v>177</v>
      </c>
      <c r="C62" s="2920">
        <v>18710</v>
      </c>
      <c r="D62" s="2920">
        <v>19400</v>
      </c>
      <c r="E62" s="2920">
        <v>23750</v>
      </c>
      <c r="F62" s="2920">
        <v>4860</v>
      </c>
      <c r="G62" s="2920">
        <v>13170</v>
      </c>
      <c r="N62" s="2920" t="s">
        <v>3063</v>
      </c>
    </row>
    <row r="63" spans="1:17" ht="14.25" customHeight="1">
      <c r="A63" s="2920" t="s">
        <v>110</v>
      </c>
      <c r="B63" s="2920" t="s">
        <v>187</v>
      </c>
      <c r="C63" s="2920">
        <v>19480</v>
      </c>
      <c r="D63" s="2920">
        <v>16830</v>
      </c>
      <c r="E63" s="2920">
        <v>21590</v>
      </c>
      <c r="F63" s="2920">
        <v>4560</v>
      </c>
      <c r="G63" s="2920">
        <v>11420</v>
      </c>
      <c r="N63" s="2920" t="s">
        <v>3064</v>
      </c>
    </row>
    <row r="64" spans="1:17" ht="14.25" customHeight="1" thickBot="1">
      <c r="A64" s="2920" t="s">
        <v>110</v>
      </c>
      <c r="B64" s="2920" t="s">
        <v>196</v>
      </c>
      <c r="C64" s="2920">
        <v>16920</v>
      </c>
      <c r="D64" s="2920">
        <v>19190</v>
      </c>
      <c r="E64" s="2920">
        <v>22200</v>
      </c>
      <c r="F64" s="2920">
        <v>4390</v>
      </c>
      <c r="G64" s="2920">
        <v>13030</v>
      </c>
      <c r="N64" s="2927" t="s">
        <v>3065</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2936</v>
      </c>
      <c r="C78" s="2920">
        <v>19820</v>
      </c>
      <c r="D78" s="2920">
        <v>19780</v>
      </c>
      <c r="E78" s="2920">
        <v>18560</v>
      </c>
      <c r="F78" s="2920"/>
      <c r="G78" s="2920">
        <v>13430</v>
      </c>
    </row>
    <row r="79" spans="1:7" s="2754" customFormat="1" ht="14.25" customHeight="1">
      <c r="A79" s="2920" t="s">
        <v>110</v>
      </c>
      <c r="B79" s="2920" t="s">
        <v>2939</v>
      </c>
      <c r="C79" s="2920">
        <v>21660</v>
      </c>
      <c r="D79" s="2920">
        <v>18000</v>
      </c>
      <c r="E79" s="2920">
        <v>22570</v>
      </c>
      <c r="F79" s="2920"/>
      <c r="G79" s="2920">
        <v>12220</v>
      </c>
    </row>
    <row r="80" spans="1:7" s="2754" customFormat="1" ht="14.25" customHeight="1">
      <c r="A80" s="2920" t="s">
        <v>110</v>
      </c>
      <c r="B80" s="2920" t="s">
        <v>2943</v>
      </c>
      <c r="C80" s="2920">
        <v>19850</v>
      </c>
      <c r="D80" s="2920"/>
      <c r="E80" s="2920">
        <v>21700</v>
      </c>
      <c r="F80" s="2920"/>
      <c r="G80" s="2920"/>
    </row>
    <row r="81" spans="1:7" s="2754" customFormat="1" ht="14.25" customHeight="1">
      <c r="A81" s="2920" t="s">
        <v>110</v>
      </c>
      <c r="B81" s="2920" t="s">
        <v>2948</v>
      </c>
      <c r="C81" s="2920">
        <v>18080</v>
      </c>
      <c r="D81" s="2920"/>
      <c r="E81" s="2920">
        <v>20900</v>
      </c>
      <c r="F81" s="2920"/>
      <c r="G81" s="2920"/>
    </row>
    <row r="82" spans="1:7" s="2754" customFormat="1" ht="14.25" customHeight="1">
      <c r="A82" s="2920" t="s">
        <v>110</v>
      </c>
      <c r="B82" s="2920" t="s">
        <v>2955</v>
      </c>
      <c r="C82" s="2920"/>
      <c r="D82" s="2920"/>
      <c r="E82" s="2920">
        <v>20840</v>
      </c>
      <c r="F82" s="2920"/>
      <c r="G82" s="2920"/>
    </row>
    <row r="83" spans="1:7" s="2754" customFormat="1" ht="14.25" customHeight="1">
      <c r="A83" s="2920" t="s">
        <v>110</v>
      </c>
      <c r="B83" s="2920" t="s">
        <v>3066</v>
      </c>
      <c r="C83" s="2920"/>
      <c r="D83" s="2920"/>
      <c r="E83" s="2920"/>
      <c r="F83" s="2920">
        <v>4770</v>
      </c>
      <c r="G83" s="2920"/>
    </row>
    <row r="84" spans="1:7" s="2754" customFormat="1" ht="14.25" customHeight="1">
      <c r="A84" s="2920" t="s">
        <v>110</v>
      </c>
      <c r="B84" s="2920" t="s">
        <v>3067</v>
      </c>
      <c r="C84" s="2920"/>
      <c r="D84" s="2920"/>
      <c r="E84" s="2920"/>
      <c r="F84" s="2920">
        <v>4600</v>
      </c>
      <c r="G84" s="2920"/>
    </row>
    <row r="85" spans="1:7" s="2754" customFormat="1" ht="14.25" customHeight="1">
      <c r="A85" s="2920" t="s">
        <v>110</v>
      </c>
      <c r="B85" s="2920" t="s">
        <v>3068</v>
      </c>
      <c r="C85" s="2920"/>
      <c r="D85" s="2920"/>
      <c r="E85" s="2920"/>
      <c r="F85" s="2920">
        <v>4680</v>
      </c>
      <c r="G85" s="2920"/>
    </row>
    <row r="86" spans="1:7" s="2754" customFormat="1" ht="14.25" customHeight="1" thickBot="1">
      <c r="A86" s="2928" t="s">
        <v>110</v>
      </c>
      <c r="B86" s="2930" t="s">
        <v>3069</v>
      </c>
      <c r="C86" s="2931">
        <v>16610</v>
      </c>
      <c r="D86" s="2931">
        <v>16540</v>
      </c>
      <c r="E86" s="2931">
        <v>18850</v>
      </c>
      <c r="F86" s="2931"/>
      <c r="G86" s="2931">
        <v>11220</v>
      </c>
    </row>
    <row r="87" spans="1:7" s="2754" customFormat="1" ht="14.25" customHeight="1">
      <c r="A87" s="2925" t="s">
        <v>303</v>
      </c>
      <c r="B87" s="2916" t="s">
        <v>3070</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2949</v>
      </c>
      <c r="C113" s="2920">
        <v>15520</v>
      </c>
      <c r="D113" s="2920">
        <v>15450</v>
      </c>
      <c r="E113" s="2920"/>
      <c r="F113" s="2920"/>
      <c r="G113" s="2933">
        <v>10210</v>
      </c>
    </row>
    <row r="114" spans="1:7" s="2754" customFormat="1" ht="14.25" customHeight="1">
      <c r="A114" s="2920" t="s">
        <v>303</v>
      </c>
      <c r="B114" s="2920" t="s">
        <v>2956</v>
      </c>
      <c r="C114" s="2920">
        <v>13110</v>
      </c>
      <c r="D114" s="2920">
        <v>13050</v>
      </c>
      <c r="E114" s="2920"/>
      <c r="F114" s="2920"/>
      <c r="G114" s="2933">
        <v>8620</v>
      </c>
    </row>
    <row r="115" spans="1:7" s="2754" customFormat="1" ht="14.25" customHeight="1">
      <c r="A115" s="2920" t="s">
        <v>303</v>
      </c>
      <c r="B115" s="2920" t="s">
        <v>2962</v>
      </c>
      <c r="C115" s="2920">
        <v>12460</v>
      </c>
      <c r="D115" s="2920">
        <v>12390</v>
      </c>
      <c r="E115" s="2920"/>
      <c r="F115" s="2920"/>
      <c r="G115" s="2933">
        <v>8190</v>
      </c>
    </row>
    <row r="116" spans="1:7" s="2754" customFormat="1" ht="14.25" customHeight="1">
      <c r="A116" s="2920" t="s">
        <v>303</v>
      </c>
      <c r="B116" s="2920" t="s">
        <v>2969</v>
      </c>
      <c r="C116" s="2920">
        <v>13580</v>
      </c>
      <c r="D116" s="2920">
        <v>13520</v>
      </c>
      <c r="E116" s="2920"/>
      <c r="F116" s="2920"/>
      <c r="G116" s="2933">
        <v>8930</v>
      </c>
    </row>
    <row r="117" spans="1:7" s="2754" customFormat="1" ht="14.25" customHeight="1">
      <c r="A117" s="2920" t="s">
        <v>303</v>
      </c>
      <c r="B117" s="2920" t="s">
        <v>2976</v>
      </c>
      <c r="C117" s="2920">
        <v>17120</v>
      </c>
      <c r="D117" s="2920">
        <v>17040</v>
      </c>
      <c r="E117" s="2920"/>
      <c r="F117" s="2920"/>
      <c r="G117" s="2933">
        <v>11260</v>
      </c>
    </row>
    <row r="118" spans="1:7" s="2754" customFormat="1" ht="14.25" customHeight="1">
      <c r="A118" s="2920" t="s">
        <v>303</v>
      </c>
      <c r="B118" s="2920" t="s">
        <v>2981</v>
      </c>
      <c r="C118" s="2920">
        <v>14860</v>
      </c>
      <c r="D118" s="2920">
        <v>14790</v>
      </c>
      <c r="E118" s="2920"/>
      <c r="F118" s="2920"/>
      <c r="G118" s="2933">
        <v>9780</v>
      </c>
    </row>
    <row r="119" spans="1:7" s="2754" customFormat="1" ht="14.25" customHeight="1">
      <c r="A119" s="2920" t="s">
        <v>303</v>
      </c>
      <c r="B119" s="2920" t="s">
        <v>2985</v>
      </c>
      <c r="C119" s="2920">
        <v>16470</v>
      </c>
      <c r="D119" s="2920">
        <v>16400</v>
      </c>
      <c r="E119" s="2920"/>
      <c r="F119" s="2920"/>
      <c r="G119" s="2933">
        <v>10840</v>
      </c>
    </row>
    <row r="120" spans="1:7" s="2754" customFormat="1" ht="14.25" customHeight="1">
      <c r="A120" s="2920" t="s">
        <v>303</v>
      </c>
      <c r="B120" s="2920" t="s">
        <v>3071</v>
      </c>
      <c r="C120" s="2920"/>
      <c r="D120" s="2920"/>
      <c r="E120" s="2920"/>
      <c r="F120" s="2920">
        <v>4160</v>
      </c>
      <c r="G120" s="2933"/>
    </row>
    <row r="121" spans="1:7" s="2754" customFormat="1" ht="14.25" customHeight="1">
      <c r="A121" s="2920" t="s">
        <v>303</v>
      </c>
      <c r="B121" s="2920" t="s">
        <v>3072</v>
      </c>
      <c r="C121" s="2920"/>
      <c r="D121" s="2920"/>
      <c r="E121" s="2920"/>
      <c r="F121" s="2920">
        <v>3880</v>
      </c>
      <c r="G121" s="2933"/>
    </row>
    <row r="122" spans="1:7" s="2754" customFormat="1" ht="14.25" customHeight="1">
      <c r="A122" s="2920" t="s">
        <v>303</v>
      </c>
      <c r="B122" s="2920" t="s">
        <v>3073</v>
      </c>
      <c r="C122" s="2920">
        <v>13750</v>
      </c>
      <c r="D122" s="2920">
        <v>13680</v>
      </c>
      <c r="E122" s="2920">
        <v>16460</v>
      </c>
      <c r="F122" s="2920">
        <v>2880</v>
      </c>
      <c r="G122" s="2933">
        <v>9040</v>
      </c>
    </row>
    <row r="123" spans="1:7" s="2754" customFormat="1" ht="14.25" customHeight="1">
      <c r="A123" s="2920" t="s">
        <v>303</v>
      </c>
      <c r="B123" s="2920" t="s">
        <v>3004</v>
      </c>
      <c r="C123" s="2920">
        <v>13590</v>
      </c>
      <c r="D123" s="2920">
        <v>13520</v>
      </c>
      <c r="E123" s="2920">
        <v>16290</v>
      </c>
      <c r="F123" s="2920">
        <v>2790</v>
      </c>
      <c r="G123" s="2933">
        <v>8930</v>
      </c>
    </row>
    <row r="124" spans="1:7" s="2754" customFormat="1" ht="14.25" customHeight="1">
      <c r="A124" s="2920" t="s">
        <v>303</v>
      </c>
      <c r="B124" s="2920" t="s">
        <v>3009</v>
      </c>
      <c r="C124" s="2920">
        <v>13400</v>
      </c>
      <c r="D124" s="2920">
        <v>13320</v>
      </c>
      <c r="E124" s="2920">
        <v>16100</v>
      </c>
      <c r="F124" s="2920">
        <v>2320</v>
      </c>
      <c r="G124" s="2933">
        <v>8800</v>
      </c>
    </row>
    <row r="125" spans="1:7" s="2754" customFormat="1" ht="14.25" customHeight="1">
      <c r="A125" s="2920" t="s">
        <v>303</v>
      </c>
      <c r="B125" s="2920" t="s">
        <v>3014</v>
      </c>
      <c r="C125" s="2920">
        <v>12860</v>
      </c>
      <c r="D125" s="2920">
        <v>12790</v>
      </c>
      <c r="E125" s="2920">
        <v>15370</v>
      </c>
      <c r="F125" s="2920">
        <v>2280</v>
      </c>
      <c r="G125" s="2933">
        <v>8450</v>
      </c>
    </row>
    <row r="126" spans="1:7" s="2754" customFormat="1" ht="14.25" customHeight="1" thickBot="1">
      <c r="A126" s="2934" t="s">
        <v>303</v>
      </c>
      <c r="B126" s="2927" t="s">
        <v>3019</v>
      </c>
      <c r="C126" s="2927">
        <v>12960</v>
      </c>
      <c r="D126" s="2927">
        <v>12890</v>
      </c>
      <c r="E126" s="2927">
        <v>15530</v>
      </c>
      <c r="F126" s="2927">
        <v>2910</v>
      </c>
      <c r="G126" s="2935">
        <v>8520</v>
      </c>
    </row>
    <row r="127" spans="1:7" s="2754" customFormat="1" ht="14.25" customHeight="1">
      <c r="A127" s="2925" t="s">
        <v>29</v>
      </c>
      <c r="B127" s="2916" t="s">
        <v>3074</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3075</v>
      </c>
      <c r="C148" s="2920">
        <v>10370</v>
      </c>
      <c r="D148" s="2920">
        <v>10310</v>
      </c>
      <c r="E148" s="2920">
        <v>12970</v>
      </c>
      <c r="F148" s="2920"/>
      <c r="G148" s="2920">
        <v>6630</v>
      </c>
    </row>
    <row r="149" spans="1:7" s="2754" customFormat="1" ht="14.25" customHeight="1">
      <c r="A149" s="2920" t="s">
        <v>29</v>
      </c>
      <c r="B149" s="2920" t="s">
        <v>3076</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2950</v>
      </c>
      <c r="C153" s="2920">
        <v>10880</v>
      </c>
      <c r="D153" s="2920">
        <v>10820</v>
      </c>
      <c r="E153" s="2920">
        <v>13660</v>
      </c>
      <c r="F153" s="2920">
        <v>2260</v>
      </c>
      <c r="G153" s="2920">
        <v>6970</v>
      </c>
    </row>
    <row r="154" spans="1:7" s="2754" customFormat="1" ht="14.25" customHeight="1">
      <c r="A154" s="2920" t="s">
        <v>29</v>
      </c>
      <c r="B154" s="2920" t="s">
        <v>3077</v>
      </c>
      <c r="C154" s="2920">
        <v>11220</v>
      </c>
      <c r="D154" s="2920">
        <v>11160</v>
      </c>
      <c r="E154" s="2920">
        <v>14130</v>
      </c>
      <c r="F154" s="2920">
        <v>2230</v>
      </c>
      <c r="G154" s="2920">
        <v>7180</v>
      </c>
    </row>
    <row r="155" spans="1:7" s="2754" customFormat="1" ht="14.25" customHeight="1">
      <c r="A155" s="2920" t="s">
        <v>29</v>
      </c>
      <c r="B155" s="2920" t="s">
        <v>2963</v>
      </c>
      <c r="C155" s="2920">
        <v>10430</v>
      </c>
      <c r="D155" s="2920">
        <v>10380</v>
      </c>
      <c r="E155" s="2920">
        <v>13140</v>
      </c>
      <c r="F155" s="2920">
        <v>2080</v>
      </c>
      <c r="G155" s="2920">
        <v>6650</v>
      </c>
    </row>
    <row r="156" spans="1:7" s="2754" customFormat="1" ht="14.25" customHeight="1">
      <c r="A156" s="2920" t="s">
        <v>29</v>
      </c>
      <c r="B156" s="2920" t="s">
        <v>3078</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3079</v>
      </c>
      <c r="C160" s="2920">
        <v>11180</v>
      </c>
      <c r="D160" s="2920">
        <v>11140</v>
      </c>
      <c r="E160" s="2920">
        <v>14050</v>
      </c>
      <c r="F160" s="2920">
        <v>2270</v>
      </c>
      <c r="G160" s="2920">
        <v>7170</v>
      </c>
    </row>
    <row r="161" spans="1:7" s="2754" customFormat="1" ht="14.25" customHeight="1">
      <c r="A161" s="2920" t="s">
        <v>29</v>
      </c>
      <c r="B161" s="2920" t="s">
        <v>2995</v>
      </c>
      <c r="C161" s="2920">
        <v>11160</v>
      </c>
      <c r="D161" s="2920">
        <v>11120</v>
      </c>
      <c r="E161" s="2920">
        <v>14020</v>
      </c>
      <c r="F161" s="2920">
        <v>2150</v>
      </c>
      <c r="G161" s="2920">
        <v>7160</v>
      </c>
    </row>
    <row r="162" spans="1:7" s="2754" customFormat="1" ht="14.25" customHeight="1">
      <c r="A162" s="2920" t="s">
        <v>29</v>
      </c>
      <c r="B162" s="2920" t="s">
        <v>3000</v>
      </c>
      <c r="C162" s="2920">
        <v>9620</v>
      </c>
      <c r="D162" s="2920">
        <v>9570</v>
      </c>
      <c r="E162" s="2920">
        <v>12320</v>
      </c>
      <c r="F162" s="2920">
        <v>2010</v>
      </c>
      <c r="G162" s="2920">
        <v>6160</v>
      </c>
    </row>
    <row r="163" spans="1:7" s="2754" customFormat="1" ht="14.25" customHeight="1">
      <c r="A163" s="2920" t="s">
        <v>29</v>
      </c>
      <c r="B163" s="2920" t="s">
        <v>3005</v>
      </c>
      <c r="C163" s="2920">
        <v>9320</v>
      </c>
      <c r="D163" s="2920">
        <v>9270</v>
      </c>
      <c r="E163" s="2920">
        <v>11790</v>
      </c>
      <c r="F163" s="2920">
        <v>1920</v>
      </c>
      <c r="G163" s="2920">
        <v>5960</v>
      </c>
    </row>
    <row r="164" spans="1:7" s="2754" customFormat="1" ht="14.25" customHeight="1">
      <c r="A164" s="2920" t="s">
        <v>29</v>
      </c>
      <c r="B164" s="2920" t="s">
        <v>3010</v>
      </c>
      <c r="C164" s="2920"/>
      <c r="D164" s="2920"/>
      <c r="E164" s="2920"/>
      <c r="F164" s="2920">
        <v>1980</v>
      </c>
      <c r="G164" s="2920"/>
    </row>
    <row r="165" spans="1:7" s="2754" customFormat="1" ht="14.25" customHeight="1">
      <c r="A165" s="2920" t="s">
        <v>29</v>
      </c>
      <c r="B165" s="2920" t="s">
        <v>3080</v>
      </c>
      <c r="C165" s="2920">
        <v>11060</v>
      </c>
      <c r="D165" s="2920">
        <v>11030</v>
      </c>
      <c r="E165" s="2920">
        <v>13850</v>
      </c>
      <c r="F165" s="2920">
        <v>2170</v>
      </c>
      <c r="G165" s="2920">
        <v>7090</v>
      </c>
    </row>
    <row r="166" spans="1:7" s="2754" customFormat="1" ht="14.25" customHeight="1">
      <c r="A166" s="2920" t="s">
        <v>29</v>
      </c>
      <c r="B166" s="2920" t="s">
        <v>3020</v>
      </c>
      <c r="C166" s="2920">
        <v>11050</v>
      </c>
      <c r="D166" s="2920">
        <v>11010</v>
      </c>
      <c r="E166" s="2920">
        <v>13920</v>
      </c>
      <c r="F166" s="2920">
        <v>2140</v>
      </c>
      <c r="G166" s="2920">
        <v>7080</v>
      </c>
    </row>
    <row r="167" spans="1:7" s="2754" customFormat="1" ht="14.25" customHeight="1">
      <c r="A167" s="2920" t="s">
        <v>29</v>
      </c>
      <c r="B167" s="2920" t="s">
        <v>3024</v>
      </c>
      <c r="C167" s="2920">
        <v>10930</v>
      </c>
      <c r="D167" s="2920">
        <v>10890</v>
      </c>
      <c r="E167" s="2920">
        <v>13790</v>
      </c>
      <c r="F167" s="2920">
        <v>2010</v>
      </c>
      <c r="G167" s="2920">
        <v>7000</v>
      </c>
    </row>
    <row r="168" spans="1:7" s="2754" customFormat="1" ht="14.25" customHeight="1">
      <c r="A168" s="2920" t="s">
        <v>29</v>
      </c>
      <c r="B168" s="2920" t="s">
        <v>3029</v>
      </c>
      <c r="C168" s="2920">
        <v>9420</v>
      </c>
      <c r="D168" s="2920">
        <v>9380</v>
      </c>
      <c r="E168" s="2920">
        <v>11970</v>
      </c>
      <c r="F168" s="2920"/>
      <c r="G168" s="2920">
        <v>6040</v>
      </c>
    </row>
    <row r="169" spans="1:7" s="2754" customFormat="1" ht="14.25" customHeight="1">
      <c r="A169" s="2920" t="s">
        <v>29</v>
      </c>
      <c r="B169" s="2920" t="s">
        <v>3081</v>
      </c>
      <c r="C169" s="2920"/>
      <c r="D169" s="2920"/>
      <c r="E169" s="2920"/>
      <c r="F169" s="2920">
        <v>2880</v>
      </c>
      <c r="G169" s="2920"/>
    </row>
    <row r="170" spans="1:7" s="2754" customFormat="1" ht="14.25" customHeight="1">
      <c r="A170" s="2920" t="s">
        <v>29</v>
      </c>
      <c r="B170" s="2920" t="s">
        <v>3037</v>
      </c>
      <c r="C170" s="2920"/>
      <c r="D170" s="2920"/>
      <c r="E170" s="2920"/>
      <c r="F170" s="2920">
        <v>2880</v>
      </c>
      <c r="G170" s="2920"/>
    </row>
    <row r="171" spans="1:7" s="2754" customFormat="1" ht="14.25" customHeight="1">
      <c r="A171" s="2920" t="s">
        <v>29</v>
      </c>
      <c r="B171" s="2920" t="s">
        <v>3040</v>
      </c>
      <c r="C171" s="2920"/>
      <c r="D171" s="2920"/>
      <c r="E171" s="2920"/>
      <c r="F171" s="2920">
        <v>2880</v>
      </c>
      <c r="G171" s="2920"/>
    </row>
    <row r="172" spans="1:7" s="2754" customFormat="1" ht="14.25" customHeight="1">
      <c r="A172" s="2920" t="s">
        <v>29</v>
      </c>
      <c r="B172" s="2920" t="s">
        <v>3042</v>
      </c>
      <c r="C172" s="2920"/>
      <c r="D172" s="2920"/>
      <c r="E172" s="2920"/>
      <c r="F172" s="2920">
        <v>2880</v>
      </c>
      <c r="G172" s="2920"/>
    </row>
    <row r="173" spans="1:7" s="2754" customFormat="1" ht="14.25" customHeight="1">
      <c r="A173" s="2920" t="s">
        <v>29</v>
      </c>
      <c r="B173" s="2920" t="s">
        <v>3044</v>
      </c>
      <c r="C173" s="2920"/>
      <c r="D173" s="2920"/>
      <c r="E173" s="2920"/>
      <c r="F173" s="2920">
        <v>2150</v>
      </c>
      <c r="G173" s="2920"/>
    </row>
    <row r="174" spans="1:7" s="2754" customFormat="1" ht="14.25" customHeight="1">
      <c r="A174" s="2920" t="s">
        <v>29</v>
      </c>
      <c r="B174" s="2920" t="s">
        <v>3046</v>
      </c>
      <c r="C174" s="2920"/>
      <c r="D174" s="2920"/>
      <c r="E174" s="2920"/>
      <c r="F174" s="2920">
        <v>2030</v>
      </c>
      <c r="G174" s="2920"/>
    </row>
    <row r="175" spans="1:7" s="2754" customFormat="1" ht="14.25" customHeight="1">
      <c r="A175" s="2920" t="s">
        <v>29</v>
      </c>
      <c r="B175" s="2920" t="s">
        <v>3048</v>
      </c>
      <c r="C175" s="2920"/>
      <c r="D175" s="2920"/>
      <c r="E175" s="2920"/>
      <c r="F175" s="2920">
        <v>2780</v>
      </c>
      <c r="G175" s="2920"/>
    </row>
    <row r="176" spans="1:7" s="2754" customFormat="1" ht="14.25" customHeight="1">
      <c r="A176" s="2920" t="s">
        <v>29</v>
      </c>
      <c r="B176" s="2920" t="s">
        <v>3050</v>
      </c>
      <c r="C176" s="2920"/>
      <c r="D176" s="2920"/>
      <c r="E176" s="2920"/>
      <c r="F176" s="2920">
        <v>2780</v>
      </c>
      <c r="G176" s="2920"/>
    </row>
    <row r="177" spans="1:7" s="2754" customFormat="1" ht="14.25" customHeight="1">
      <c r="A177" s="2920" t="s">
        <v>29</v>
      </c>
      <c r="B177" s="2920" t="s">
        <v>3082</v>
      </c>
      <c r="C177" s="2920"/>
      <c r="D177" s="2920"/>
      <c r="E177" s="2920"/>
      <c r="F177" s="2920">
        <v>2780</v>
      </c>
      <c r="G177" s="2920"/>
    </row>
    <row r="178" spans="1:7" s="2754" customFormat="1" ht="14.25" customHeight="1">
      <c r="A178" s="2920" t="s">
        <v>29</v>
      </c>
      <c r="B178" s="2920" t="s">
        <v>3083</v>
      </c>
      <c r="C178" s="2920"/>
      <c r="D178" s="2920"/>
      <c r="E178" s="2920"/>
      <c r="F178" s="2920">
        <v>2060</v>
      </c>
      <c r="G178" s="2920"/>
    </row>
    <row r="179" spans="1:7" s="2754" customFormat="1" ht="14.25" customHeight="1">
      <c r="A179" s="2920" t="s">
        <v>29</v>
      </c>
      <c r="B179" s="2920" t="s">
        <v>3084</v>
      </c>
      <c r="C179" s="2920"/>
      <c r="D179" s="2920"/>
      <c r="E179" s="2920"/>
      <c r="F179" s="2920">
        <v>2120</v>
      </c>
      <c r="G179" s="2920"/>
    </row>
    <row r="180" spans="1:7" s="2754" customFormat="1" ht="14.25" customHeight="1">
      <c r="A180" s="2920" t="s">
        <v>29</v>
      </c>
      <c r="B180" s="2920" t="s">
        <v>3056</v>
      </c>
      <c r="C180" s="2920"/>
      <c r="D180" s="2920"/>
      <c r="E180" s="2920"/>
      <c r="F180" s="2920">
        <v>2340</v>
      </c>
      <c r="G180" s="2920"/>
    </row>
    <row r="181" spans="1:7" s="2754" customFormat="1" ht="14.25" customHeight="1">
      <c r="A181" s="2920" t="s">
        <v>29</v>
      </c>
      <c r="B181" s="2920" t="s">
        <v>3057</v>
      </c>
      <c r="C181" s="2920"/>
      <c r="D181" s="2920"/>
      <c r="E181" s="2920"/>
      <c r="F181" s="2920">
        <v>2340</v>
      </c>
      <c r="G181" s="2920"/>
    </row>
    <row r="182" spans="1:7" s="2754" customFormat="1" ht="14.25" customHeight="1">
      <c r="A182" s="2920" t="s">
        <v>29</v>
      </c>
      <c r="B182" s="2920" t="s">
        <v>3058</v>
      </c>
      <c r="C182" s="2920"/>
      <c r="D182" s="2920"/>
      <c r="E182" s="2920"/>
      <c r="F182" s="2920">
        <v>2340</v>
      </c>
      <c r="G182" s="2920"/>
    </row>
    <row r="183" spans="1:7" s="2754" customFormat="1" ht="14.25" customHeight="1">
      <c r="A183" s="2920" t="s">
        <v>29</v>
      </c>
      <c r="B183" s="2920" t="s">
        <v>3059</v>
      </c>
      <c r="C183" s="2920"/>
      <c r="D183" s="2920"/>
      <c r="E183" s="2920"/>
      <c r="F183" s="2920">
        <v>2340</v>
      </c>
      <c r="G183" s="2920"/>
    </row>
    <row r="184" spans="1:7" s="2754" customFormat="1" ht="14.25" customHeight="1">
      <c r="A184" s="2920" t="s">
        <v>29</v>
      </c>
      <c r="B184" s="2920" t="s">
        <v>3060</v>
      </c>
      <c r="C184" s="2920"/>
      <c r="D184" s="2920"/>
      <c r="E184" s="2920"/>
      <c r="F184" s="2920">
        <v>2340</v>
      </c>
      <c r="G184" s="2920"/>
    </row>
    <row r="185" spans="1:7" s="2754" customFormat="1" ht="14.25" customHeight="1">
      <c r="A185" s="2920" t="s">
        <v>29</v>
      </c>
      <c r="B185" s="2920" t="s">
        <v>3061</v>
      </c>
      <c r="C185" s="2920"/>
      <c r="D185" s="2920"/>
      <c r="E185" s="2920"/>
      <c r="F185" s="2920">
        <v>2530</v>
      </c>
      <c r="G185" s="2920"/>
    </row>
    <row r="186" spans="1:7" s="2754" customFormat="1" ht="14.25" customHeight="1">
      <c r="A186" s="2920" t="s">
        <v>29</v>
      </c>
      <c r="B186" s="2920" t="s">
        <v>3062</v>
      </c>
      <c r="C186" s="2920"/>
      <c r="D186" s="2920"/>
      <c r="E186" s="2920"/>
      <c r="F186" s="2920">
        <v>2550</v>
      </c>
      <c r="G186" s="2920"/>
    </row>
    <row r="187" spans="1:7" s="2754" customFormat="1" ht="14.25" customHeight="1">
      <c r="A187" s="2920" t="s">
        <v>29</v>
      </c>
      <c r="B187" s="2920" t="s">
        <v>3063</v>
      </c>
      <c r="C187" s="2920"/>
      <c r="D187" s="2920"/>
      <c r="E187" s="2920"/>
      <c r="F187" s="2920">
        <v>2070</v>
      </c>
      <c r="G187" s="2920"/>
    </row>
    <row r="188" spans="1:7" s="2754" customFormat="1" ht="14.25" customHeight="1">
      <c r="A188" s="2920" t="s">
        <v>29</v>
      </c>
      <c r="B188" s="2920" t="s">
        <v>3064</v>
      </c>
      <c r="C188" s="2920"/>
      <c r="D188" s="2920"/>
      <c r="E188" s="2920"/>
      <c r="F188" s="2920">
        <v>2340</v>
      </c>
      <c r="G188" s="2920"/>
    </row>
    <row r="189" spans="1:7" s="2754" customFormat="1" ht="14.25" customHeight="1" thickBot="1">
      <c r="A189" s="2928" t="s">
        <v>29</v>
      </c>
      <c r="B189" s="2931" t="s">
        <v>3065</v>
      </c>
      <c r="C189" s="2931"/>
      <c r="D189" s="2931"/>
      <c r="E189" s="2931"/>
      <c r="F189" s="2931">
        <v>2050</v>
      </c>
      <c r="G189" s="2931"/>
    </row>
    <row r="190" spans="1:7" s="2754" customFormat="1" ht="14.25" customHeight="1">
      <c r="A190" s="2925" t="s">
        <v>304</v>
      </c>
      <c r="B190" s="2916" t="s">
        <v>3085</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3086</v>
      </c>
      <c r="C199" s="2920">
        <v>8690</v>
      </c>
      <c r="D199" s="2920">
        <v>8630</v>
      </c>
      <c r="E199" s="2920">
        <v>11350</v>
      </c>
      <c r="F199" s="2920">
        <v>1600</v>
      </c>
      <c r="G199" s="2933">
        <v>5450</v>
      </c>
    </row>
    <row r="200" spans="1:7" s="2754" customFormat="1" ht="14.25" customHeight="1">
      <c r="A200" s="2920" t="s">
        <v>304</v>
      </c>
      <c r="B200" s="2920" t="s">
        <v>2897</v>
      </c>
      <c r="C200" s="2920"/>
      <c r="D200" s="2920"/>
      <c r="E200" s="2920"/>
      <c r="F200" s="2920">
        <v>1510</v>
      </c>
      <c r="G200" s="2933"/>
    </row>
    <row r="201" spans="1:7" s="2754" customFormat="1" ht="14.25" customHeight="1">
      <c r="A201" s="2920" t="s">
        <v>304</v>
      </c>
      <c r="B201" s="2920" t="s">
        <v>3087</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3088</v>
      </c>
      <c r="C203" s="2920">
        <v>8130</v>
      </c>
      <c r="D203" s="2920">
        <v>8070</v>
      </c>
      <c r="E203" s="2920">
        <v>10820</v>
      </c>
      <c r="F203" s="2920">
        <v>1690</v>
      </c>
      <c r="G203" s="2933">
        <v>5100</v>
      </c>
    </row>
    <row r="204" spans="1:7" s="2754" customFormat="1" ht="14.25" customHeight="1">
      <c r="A204" s="2920" t="s">
        <v>304</v>
      </c>
      <c r="B204" s="2920" t="s">
        <v>2908</v>
      </c>
      <c r="C204" s="2920">
        <v>8350</v>
      </c>
      <c r="D204" s="2920">
        <v>8290</v>
      </c>
      <c r="E204" s="2920">
        <v>11080</v>
      </c>
      <c r="F204" s="2920">
        <v>1450</v>
      </c>
      <c r="G204" s="2933">
        <v>5240</v>
      </c>
    </row>
    <row r="205" spans="1:7" s="2754" customFormat="1" ht="14.25" customHeight="1">
      <c r="A205" s="2920" t="s">
        <v>304</v>
      </c>
      <c r="B205" s="2920" t="s">
        <v>2910</v>
      </c>
      <c r="C205" s="2920">
        <v>7190</v>
      </c>
      <c r="D205" s="2920">
        <v>7130</v>
      </c>
      <c r="E205" s="2920">
        <v>9490</v>
      </c>
      <c r="F205" s="2920">
        <v>1470</v>
      </c>
      <c r="G205" s="2933">
        <v>4510</v>
      </c>
    </row>
    <row r="206" spans="1:7" s="2754" customFormat="1" ht="14.25" customHeight="1">
      <c r="A206" s="2920" t="s">
        <v>304</v>
      </c>
      <c r="B206" s="2920" t="s">
        <v>2913</v>
      </c>
      <c r="C206" s="2920">
        <v>7000</v>
      </c>
      <c r="D206" s="2920">
        <v>6950</v>
      </c>
      <c r="E206" s="2920">
        <v>9170</v>
      </c>
      <c r="F206" s="2920">
        <v>1400</v>
      </c>
      <c r="G206" s="2933">
        <v>4380</v>
      </c>
    </row>
    <row r="207" spans="1:7" s="2754" customFormat="1" ht="14.25" customHeight="1">
      <c r="A207" s="2920" t="s">
        <v>304</v>
      </c>
      <c r="B207" s="2920" t="s">
        <v>2915</v>
      </c>
      <c r="C207" s="2920">
        <v>6950</v>
      </c>
      <c r="D207" s="2920">
        <v>6900</v>
      </c>
      <c r="E207" s="2920">
        <v>9110</v>
      </c>
      <c r="F207" s="2920">
        <v>1790</v>
      </c>
      <c r="G207" s="2933">
        <v>4360</v>
      </c>
    </row>
    <row r="208" spans="1:7" s="2754" customFormat="1" ht="14.25" customHeight="1">
      <c r="A208" s="2920" t="s">
        <v>304</v>
      </c>
      <c r="B208" s="2920" t="s">
        <v>3089</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2925</v>
      </c>
      <c r="C210" s="2920">
        <v>8710</v>
      </c>
      <c r="D210" s="2920">
        <v>8660</v>
      </c>
      <c r="E210" s="2920">
        <v>11440</v>
      </c>
      <c r="F210" s="2920">
        <v>1740</v>
      </c>
      <c r="G210" s="2933">
        <v>5470</v>
      </c>
    </row>
    <row r="211" spans="1:7" s="2754" customFormat="1" ht="14.25" customHeight="1">
      <c r="A211" s="2920" t="s">
        <v>304</v>
      </c>
      <c r="B211" s="2920" t="s">
        <v>3090</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3091</v>
      </c>
      <c r="C214" s="2920">
        <v>8090</v>
      </c>
      <c r="D214" s="2920">
        <v>8030</v>
      </c>
      <c r="E214" s="2920">
        <v>10780</v>
      </c>
      <c r="F214" s="2920">
        <v>1570</v>
      </c>
      <c r="G214" s="2933">
        <v>5070</v>
      </c>
    </row>
    <row r="215" spans="1:7" s="2754" customFormat="1" ht="14.25" customHeight="1">
      <c r="A215" s="2920" t="s">
        <v>304</v>
      </c>
      <c r="B215" s="2920" t="s">
        <v>3092</v>
      </c>
      <c r="C215" s="2920">
        <v>7950</v>
      </c>
      <c r="D215" s="2920">
        <v>7900</v>
      </c>
      <c r="E215" s="2920">
        <v>10560</v>
      </c>
      <c r="F215" s="2920">
        <v>1630</v>
      </c>
      <c r="G215" s="2933">
        <v>4990</v>
      </c>
    </row>
    <row r="216" spans="1:7" s="2754" customFormat="1" ht="14.25" customHeight="1">
      <c r="A216" s="2920" t="s">
        <v>304</v>
      </c>
      <c r="B216" s="2920" t="s">
        <v>3093</v>
      </c>
      <c r="C216" s="2920">
        <v>8490</v>
      </c>
      <c r="D216" s="2920">
        <v>8440</v>
      </c>
      <c r="E216" s="2920">
        <v>11260</v>
      </c>
      <c r="F216" s="2920">
        <v>1690</v>
      </c>
      <c r="G216" s="2933">
        <v>5330</v>
      </c>
    </row>
    <row r="217" spans="1:7" s="2754" customFormat="1" ht="14.25" customHeight="1">
      <c r="A217" s="2920" t="s">
        <v>304</v>
      </c>
      <c r="B217" s="2920" t="s">
        <v>2958</v>
      </c>
      <c r="C217" s="2920">
        <v>8200</v>
      </c>
      <c r="D217" s="2920">
        <v>8150</v>
      </c>
      <c r="E217" s="2920">
        <v>10910</v>
      </c>
      <c r="F217" s="2920">
        <v>1670</v>
      </c>
      <c r="G217" s="2933">
        <v>5150</v>
      </c>
    </row>
    <row r="218" spans="1:7" s="2754" customFormat="1" ht="14.25" customHeight="1">
      <c r="A218" s="2920" t="s">
        <v>304</v>
      </c>
      <c r="B218" s="2920" t="s">
        <v>3094</v>
      </c>
      <c r="C218" s="2920"/>
      <c r="D218" s="2920"/>
      <c r="E218" s="2920"/>
      <c r="F218" s="2920">
        <v>2040</v>
      </c>
      <c r="G218" s="2933"/>
    </row>
    <row r="219" spans="1:7" s="2754" customFormat="1" ht="14.25" customHeight="1">
      <c r="A219" s="2920" t="s">
        <v>304</v>
      </c>
      <c r="B219" s="2920" t="s">
        <v>3095</v>
      </c>
      <c r="C219" s="2920"/>
      <c r="D219" s="2920"/>
      <c r="E219" s="2920"/>
      <c r="F219" s="2920">
        <v>2040</v>
      </c>
      <c r="G219" s="2933"/>
    </row>
    <row r="220" spans="1:7" s="2754" customFormat="1" ht="14.25" customHeight="1">
      <c r="A220" s="2920" t="s">
        <v>304</v>
      </c>
      <c r="B220" s="2920" t="s">
        <v>3096</v>
      </c>
      <c r="C220" s="2920"/>
      <c r="D220" s="2920"/>
      <c r="E220" s="2920"/>
      <c r="F220" s="2920">
        <v>2040</v>
      </c>
      <c r="G220" s="2933"/>
    </row>
    <row r="221" spans="1:7" s="2754" customFormat="1" ht="14.25" customHeight="1">
      <c r="A221" s="2920" t="s">
        <v>304</v>
      </c>
      <c r="B221" s="2920" t="s">
        <v>3097</v>
      </c>
      <c r="C221" s="2920"/>
      <c r="D221" s="2920"/>
      <c r="E221" s="2920"/>
      <c r="F221" s="2920">
        <v>2040</v>
      </c>
      <c r="G221" s="2933"/>
    </row>
    <row r="222" spans="1:7" s="2754" customFormat="1" ht="14.25" customHeight="1">
      <c r="A222" s="2920" t="s">
        <v>304</v>
      </c>
      <c r="B222" s="2920" t="s">
        <v>3098</v>
      </c>
      <c r="C222" s="2920"/>
      <c r="D222" s="2920"/>
      <c r="E222" s="2920"/>
      <c r="F222" s="2920">
        <v>2040</v>
      </c>
      <c r="G222" s="2933"/>
    </row>
    <row r="223" spans="1:7" s="2754" customFormat="1" ht="14.25" customHeight="1">
      <c r="A223" s="2920" t="s">
        <v>304</v>
      </c>
      <c r="B223" s="2920" t="s">
        <v>3099</v>
      </c>
      <c r="C223" s="2920"/>
      <c r="D223" s="2920"/>
      <c r="E223" s="2920"/>
      <c r="F223" s="2920">
        <v>1930</v>
      </c>
      <c r="G223" s="2933"/>
    </row>
    <row r="224" spans="1:7" s="2754" customFormat="1" ht="14.25" customHeight="1">
      <c r="A224" s="2920" t="s">
        <v>304</v>
      </c>
      <c r="B224" s="2920" t="s">
        <v>3100</v>
      </c>
      <c r="C224" s="2920"/>
      <c r="D224" s="2920"/>
      <c r="E224" s="2920"/>
      <c r="F224" s="2920">
        <v>1930</v>
      </c>
      <c r="G224" s="2933"/>
    </row>
    <row r="225" spans="1:7" s="2754" customFormat="1" ht="14.25" customHeight="1">
      <c r="A225" s="2920" t="s">
        <v>304</v>
      </c>
      <c r="B225" s="2920" t="s">
        <v>3101</v>
      </c>
      <c r="C225" s="2920"/>
      <c r="D225" s="2920"/>
      <c r="E225" s="2920"/>
      <c r="F225" s="2920">
        <v>1930</v>
      </c>
      <c r="G225" s="2933"/>
    </row>
    <row r="226" spans="1:7" s="2754" customFormat="1" ht="14.25" customHeight="1">
      <c r="A226" s="2920" t="s">
        <v>304</v>
      </c>
      <c r="B226" s="2920" t="s">
        <v>3102</v>
      </c>
      <c r="C226" s="2920"/>
      <c r="D226" s="2920"/>
      <c r="E226" s="2920"/>
      <c r="F226" s="2920">
        <v>1700</v>
      </c>
      <c r="G226" s="2933"/>
    </row>
    <row r="227" spans="1:7" s="2754" customFormat="1" ht="14.25" customHeight="1">
      <c r="A227" s="2920" t="s">
        <v>304</v>
      </c>
      <c r="B227" s="2920" t="s">
        <v>3103</v>
      </c>
      <c r="C227" s="2920"/>
      <c r="D227" s="2920"/>
      <c r="E227" s="2920"/>
      <c r="F227" s="2920">
        <v>1520</v>
      </c>
      <c r="G227" s="2933"/>
    </row>
    <row r="228" spans="1:7" s="2754" customFormat="1" ht="14.25" customHeight="1">
      <c r="A228" s="2920" t="s">
        <v>304</v>
      </c>
      <c r="B228" s="2920" t="s">
        <v>3104</v>
      </c>
      <c r="C228" s="2920"/>
      <c r="D228" s="2920"/>
      <c r="E228" s="2920"/>
      <c r="F228" s="2920">
        <v>1520</v>
      </c>
      <c r="G228" s="2933"/>
    </row>
    <row r="229" spans="1:7" s="2754" customFormat="1" ht="14.25" customHeight="1">
      <c r="A229" s="2920" t="s">
        <v>304</v>
      </c>
      <c r="B229" s="2920" t="s">
        <v>3021</v>
      </c>
      <c r="C229" s="2920"/>
      <c r="D229" s="2920"/>
      <c r="E229" s="2920"/>
      <c r="F229" s="2920">
        <v>1520</v>
      </c>
      <c r="G229" s="2933"/>
    </row>
    <row r="230" spans="1:7" s="2754" customFormat="1" ht="14.25" customHeight="1">
      <c r="A230" s="2920" t="s">
        <v>304</v>
      </c>
      <c r="B230" s="2920" t="s">
        <v>3105</v>
      </c>
      <c r="C230" s="2920"/>
      <c r="D230" s="2920"/>
      <c r="E230" s="2920"/>
      <c r="F230" s="2920">
        <v>1820</v>
      </c>
      <c r="G230" s="2933"/>
    </row>
    <row r="231" spans="1:7" s="2754" customFormat="1" ht="14.25" customHeight="1">
      <c r="A231" s="2920" t="s">
        <v>304</v>
      </c>
      <c r="B231" s="2920" t="s">
        <v>3106</v>
      </c>
      <c r="C231" s="2920"/>
      <c r="D231" s="2920"/>
      <c r="E231" s="2920"/>
      <c r="F231" s="2920">
        <v>1760</v>
      </c>
      <c r="G231" s="2933"/>
    </row>
    <row r="232" spans="1:7" s="2754" customFormat="1" ht="14.25" customHeight="1">
      <c r="A232" s="2920" t="s">
        <v>304</v>
      </c>
      <c r="B232" s="2920" t="s">
        <v>3107</v>
      </c>
      <c r="C232" s="2920"/>
      <c r="D232" s="2920"/>
      <c r="E232" s="2920"/>
      <c r="F232" s="2920">
        <v>1840</v>
      </c>
      <c r="G232" s="2933"/>
    </row>
    <row r="233" spans="1:7" s="2754" customFormat="1" ht="14.25" customHeight="1" thickBot="1">
      <c r="A233" s="2934" t="s">
        <v>304</v>
      </c>
      <c r="B233" s="2927" t="s">
        <v>3038</v>
      </c>
      <c r="C233" s="2927"/>
      <c r="D233" s="2927"/>
      <c r="E233" s="2927"/>
      <c r="F233" s="2927">
        <v>1770</v>
      </c>
      <c r="G233" s="2935"/>
    </row>
    <row r="234" spans="1:7" s="2754" customFormat="1" ht="14.25" customHeight="1">
      <c r="A234" s="2925" t="s">
        <v>305</v>
      </c>
      <c r="B234" s="2916" t="s">
        <v>3108</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2879</v>
      </c>
      <c r="C238" s="2920">
        <v>6920</v>
      </c>
      <c r="D238" s="2920">
        <v>6890</v>
      </c>
      <c r="E238" s="2920">
        <v>8640</v>
      </c>
      <c r="F238" s="2920">
        <v>1310</v>
      </c>
      <c r="G238" s="2920">
        <v>4230</v>
      </c>
    </row>
    <row r="239" spans="1:7" s="2754" customFormat="1" ht="14.25" customHeight="1">
      <c r="A239" s="2920" t="s">
        <v>305</v>
      </c>
      <c r="B239" s="2920" t="s">
        <v>3109</v>
      </c>
      <c r="C239" s="2920">
        <v>6780</v>
      </c>
      <c r="D239" s="2920">
        <v>6750</v>
      </c>
      <c r="E239" s="2920">
        <v>8440</v>
      </c>
      <c r="F239" s="2920">
        <v>1160</v>
      </c>
      <c r="G239" s="2920">
        <v>4140</v>
      </c>
    </row>
    <row r="240" spans="1:7" s="2754" customFormat="1" ht="14.25" customHeight="1">
      <c r="A240" s="2920" t="s">
        <v>305</v>
      </c>
      <c r="B240" s="2920" t="s">
        <v>3110</v>
      </c>
      <c r="C240" s="2920">
        <v>5420</v>
      </c>
      <c r="D240" s="2920">
        <v>5380</v>
      </c>
      <c r="E240" s="2920">
        <v>6640</v>
      </c>
      <c r="F240" s="2920">
        <v>1020</v>
      </c>
      <c r="G240" s="2920">
        <v>3300</v>
      </c>
    </row>
    <row r="241" spans="1:7" s="2754" customFormat="1" ht="14.25" customHeight="1">
      <c r="A241" s="2920" t="s">
        <v>305</v>
      </c>
      <c r="B241" s="2920" t="s">
        <v>3111</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3112</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3113</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3114</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3115</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3116</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2941</v>
      </c>
      <c r="C258" s="2920">
        <v>6190</v>
      </c>
      <c r="D258" s="2920">
        <v>6160</v>
      </c>
      <c r="E258" s="2920">
        <v>7680</v>
      </c>
      <c r="F258" s="2920">
        <v>1170</v>
      </c>
      <c r="G258" s="2920">
        <v>3780</v>
      </c>
    </row>
    <row r="259" spans="1:7" s="2754" customFormat="1" ht="14.25" customHeight="1">
      <c r="A259" s="2920" t="s">
        <v>305</v>
      </c>
      <c r="B259" s="2920" t="s">
        <v>3117</v>
      </c>
      <c r="C259" s="2920">
        <v>7610</v>
      </c>
      <c r="D259" s="2920">
        <v>7570</v>
      </c>
      <c r="E259" s="2920">
        <v>9350</v>
      </c>
      <c r="F259" s="2920">
        <v>1350</v>
      </c>
      <c r="G259" s="2920">
        <v>4650</v>
      </c>
    </row>
    <row r="260" spans="1:7" s="2754" customFormat="1" ht="14.25" customHeight="1">
      <c r="A260" s="2920" t="s">
        <v>305</v>
      </c>
      <c r="B260" s="2920" t="s">
        <v>3118</v>
      </c>
      <c r="C260" s="2920">
        <v>6920</v>
      </c>
      <c r="D260" s="2920">
        <v>6880</v>
      </c>
      <c r="E260" s="2920">
        <v>8380</v>
      </c>
      <c r="F260" s="2920">
        <v>1160</v>
      </c>
      <c r="G260" s="2920">
        <v>4220</v>
      </c>
    </row>
    <row r="261" spans="1:7" s="2754" customFormat="1" ht="14.25" customHeight="1">
      <c r="A261" s="2920" t="s">
        <v>305</v>
      </c>
      <c r="B261" s="2920" t="s">
        <v>3119</v>
      </c>
      <c r="C261" s="2920">
        <v>6850</v>
      </c>
      <c r="D261" s="2920">
        <v>6810</v>
      </c>
      <c r="E261" s="2920">
        <v>8290</v>
      </c>
      <c r="F261" s="2920">
        <v>1130</v>
      </c>
      <c r="G261" s="2920">
        <v>4180</v>
      </c>
    </row>
    <row r="262" spans="1:7" s="2754" customFormat="1" ht="14.25" customHeight="1">
      <c r="A262" s="2920" t="s">
        <v>305</v>
      </c>
      <c r="B262" s="2920" t="s">
        <v>3120</v>
      </c>
      <c r="C262" s="2920">
        <v>5860</v>
      </c>
      <c r="D262" s="2920">
        <v>5820</v>
      </c>
      <c r="E262" s="2920">
        <v>7640</v>
      </c>
      <c r="F262" s="2920">
        <v>1070</v>
      </c>
      <c r="G262" s="2920">
        <v>3570</v>
      </c>
    </row>
    <row r="263" spans="1:7" s="2754" customFormat="1" ht="14.25" customHeight="1">
      <c r="A263" s="2920" t="s">
        <v>305</v>
      </c>
      <c r="B263" s="2920" t="s">
        <v>3121</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3122</v>
      </c>
      <c r="C265" s="2920"/>
      <c r="D265" s="2920"/>
      <c r="E265" s="2920"/>
      <c r="F265" s="2920">
        <v>1500</v>
      </c>
      <c r="G265" s="2920"/>
    </row>
    <row r="266" spans="1:7" s="2754" customFormat="1" ht="14.25" customHeight="1">
      <c r="A266" s="2920" t="s">
        <v>305</v>
      </c>
      <c r="B266" s="2920" t="s">
        <v>3123</v>
      </c>
      <c r="C266" s="2920"/>
      <c r="D266" s="2920"/>
      <c r="E266" s="2920"/>
      <c r="F266" s="2920">
        <v>1500</v>
      </c>
      <c r="G266" s="2920"/>
    </row>
    <row r="267" spans="1:7" s="2754" customFormat="1" ht="14.25" customHeight="1">
      <c r="A267" s="2920" t="s">
        <v>305</v>
      </c>
      <c r="B267" s="2920" t="s">
        <v>3124</v>
      </c>
      <c r="C267" s="2920"/>
      <c r="D267" s="2920"/>
      <c r="E267" s="2920"/>
      <c r="F267" s="2920">
        <v>1500</v>
      </c>
      <c r="G267" s="2920"/>
    </row>
    <row r="268" spans="1:7" s="2754" customFormat="1" ht="14.25" customHeight="1">
      <c r="A268" s="2920" t="s">
        <v>305</v>
      </c>
      <c r="B268" s="2920" t="s">
        <v>3125</v>
      </c>
      <c r="C268" s="2920"/>
      <c r="D268" s="2920"/>
      <c r="E268" s="2920"/>
      <c r="F268" s="2920">
        <v>1290</v>
      </c>
      <c r="G268" s="2920"/>
    </row>
    <row r="269" spans="1:7" s="2754" customFormat="1" ht="14.25" customHeight="1">
      <c r="A269" s="2920" t="s">
        <v>305</v>
      </c>
      <c r="B269" s="2920" t="s">
        <v>3126</v>
      </c>
      <c r="C269" s="2920"/>
      <c r="D269" s="2920"/>
      <c r="E269" s="2920"/>
      <c r="F269" s="2920">
        <v>1150</v>
      </c>
      <c r="G269" s="2920"/>
    </row>
    <row r="270" spans="1:7" s="2754" customFormat="1" ht="14.25" customHeight="1">
      <c r="A270" s="2920" t="s">
        <v>305</v>
      </c>
      <c r="B270" s="2920" t="s">
        <v>3127</v>
      </c>
      <c r="C270" s="2920"/>
      <c r="D270" s="2920"/>
      <c r="E270" s="2920"/>
      <c r="F270" s="2920">
        <v>1380</v>
      </c>
      <c r="G270" s="2920"/>
    </row>
    <row r="271" spans="1:7" s="2754" customFormat="1" ht="14.25" customHeight="1">
      <c r="A271" s="2920" t="s">
        <v>305</v>
      </c>
      <c r="B271" s="2920" t="s">
        <v>3128</v>
      </c>
      <c r="C271" s="2920"/>
      <c r="D271" s="2920"/>
      <c r="E271" s="2920"/>
      <c r="F271" s="2920">
        <v>1460</v>
      </c>
      <c r="G271" s="2920"/>
    </row>
    <row r="272" spans="1:7" s="2754" customFormat="1" ht="14.25" customHeight="1">
      <c r="A272" s="2920" t="s">
        <v>305</v>
      </c>
      <c r="B272" s="2920" t="s">
        <v>3129</v>
      </c>
      <c r="C272" s="2920"/>
      <c r="D272" s="2920"/>
      <c r="E272" s="2920"/>
      <c r="F272" s="2920">
        <v>1460</v>
      </c>
      <c r="G272" s="2920"/>
    </row>
    <row r="273" spans="1:7" s="2754" customFormat="1" ht="14.25" customHeight="1">
      <c r="A273" s="2920" t="s">
        <v>305</v>
      </c>
      <c r="B273" s="2920" t="s">
        <v>3022</v>
      </c>
      <c r="C273" s="2920"/>
      <c r="D273" s="2920"/>
      <c r="E273" s="2920"/>
      <c r="F273" s="2920">
        <v>1490</v>
      </c>
      <c r="G273" s="2920"/>
    </row>
    <row r="274" spans="1:7" s="2754" customFormat="1" ht="14.25" customHeight="1">
      <c r="A274" s="2920" t="s">
        <v>305</v>
      </c>
      <c r="B274" s="2920" t="s">
        <v>3130</v>
      </c>
      <c r="C274" s="2920"/>
      <c r="D274" s="2920"/>
      <c r="E274" s="2920"/>
      <c r="F274" s="2920">
        <v>1490</v>
      </c>
      <c r="G274" s="2920"/>
    </row>
    <row r="275" spans="1:7" s="2754" customFormat="1" ht="14.25" customHeight="1">
      <c r="A275" s="2920" t="s">
        <v>305</v>
      </c>
      <c r="B275" s="2920" t="s">
        <v>3131</v>
      </c>
      <c r="C275" s="2920"/>
      <c r="D275" s="2920"/>
      <c r="E275" s="2920"/>
      <c r="F275" s="2920">
        <v>1220</v>
      </c>
      <c r="G275" s="2920"/>
    </row>
    <row r="276" spans="1:7" s="2754" customFormat="1" ht="14.25" customHeight="1" thickBot="1">
      <c r="A276" s="2928" t="s">
        <v>305</v>
      </c>
      <c r="B276" s="2930" t="s">
        <v>3132</v>
      </c>
      <c r="C276" s="2931"/>
      <c r="D276" s="2931"/>
      <c r="E276" s="2931"/>
      <c r="F276" s="2931">
        <v>1380</v>
      </c>
      <c r="G276" s="2931"/>
    </row>
    <row r="277" spans="1:7" s="2754" customFormat="1" ht="14.25" customHeight="1">
      <c r="A277" s="2925" t="s">
        <v>306</v>
      </c>
      <c r="B277" s="2916" t="s">
        <v>3133</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3134</v>
      </c>
      <c r="C279" s="2920">
        <v>4760</v>
      </c>
      <c r="D279" s="2920">
        <v>4720</v>
      </c>
      <c r="E279" s="2920">
        <v>5540</v>
      </c>
      <c r="F279" s="2920">
        <v>810</v>
      </c>
      <c r="G279" s="2933">
        <v>2850</v>
      </c>
    </row>
    <row r="280" spans="1:7" s="2754" customFormat="1" ht="14.25" customHeight="1">
      <c r="A280" s="2920" t="s">
        <v>306</v>
      </c>
      <c r="B280" s="2920" t="s">
        <v>3135</v>
      </c>
      <c r="C280" s="2920">
        <v>4010</v>
      </c>
      <c r="D280" s="2920">
        <v>3950</v>
      </c>
      <c r="E280" s="2920">
        <v>4710</v>
      </c>
      <c r="F280" s="2920">
        <v>800</v>
      </c>
      <c r="G280" s="2933">
        <v>2390</v>
      </c>
    </row>
    <row r="281" spans="1:7" s="2754" customFormat="1" ht="14.25" customHeight="1">
      <c r="A281" s="2920" t="s">
        <v>306</v>
      </c>
      <c r="B281" s="2920" t="s">
        <v>3136</v>
      </c>
      <c r="C281" s="2920">
        <v>4480</v>
      </c>
      <c r="D281" s="2920">
        <v>4420</v>
      </c>
      <c r="E281" s="2920">
        <v>5230</v>
      </c>
      <c r="F281" s="2920">
        <v>870</v>
      </c>
      <c r="G281" s="2933">
        <v>2660</v>
      </c>
    </row>
    <row r="282" spans="1:7" s="2754" customFormat="1" ht="14.25" customHeight="1">
      <c r="A282" s="2920" t="s">
        <v>306</v>
      </c>
      <c r="B282" s="2920" t="s">
        <v>3137</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3138</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3139</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2914</v>
      </c>
      <c r="C293" s="2920">
        <v>5320</v>
      </c>
      <c r="D293" s="2920">
        <v>5270</v>
      </c>
      <c r="E293" s="2920">
        <v>6160</v>
      </c>
      <c r="F293" s="2920">
        <v>990</v>
      </c>
      <c r="G293" s="2933">
        <v>3170</v>
      </c>
    </row>
    <row r="294" spans="1:7" s="2754" customFormat="1" ht="14.25" customHeight="1">
      <c r="A294" s="2920" t="s">
        <v>306</v>
      </c>
      <c r="B294" s="2920" t="s">
        <v>3140</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2933</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3141</v>
      </c>
      <c r="C302" s="2920">
        <v>5520</v>
      </c>
      <c r="D302" s="2920">
        <v>5470</v>
      </c>
      <c r="E302" s="2920">
        <v>6410</v>
      </c>
      <c r="F302" s="2920">
        <v>950</v>
      </c>
      <c r="G302" s="2933">
        <v>3300</v>
      </c>
    </row>
    <row r="303" spans="1:7" s="2754" customFormat="1" ht="14.25" customHeight="1">
      <c r="A303" s="2920" t="s">
        <v>306</v>
      </c>
      <c r="B303" s="2920" t="s">
        <v>2953</v>
      </c>
      <c r="C303" s="2920">
        <v>5630</v>
      </c>
      <c r="D303" s="2920">
        <v>5590</v>
      </c>
      <c r="E303" s="2920">
        <v>6550</v>
      </c>
      <c r="F303" s="2920">
        <v>1010</v>
      </c>
      <c r="G303" s="2933">
        <v>3370</v>
      </c>
    </row>
    <row r="304" spans="1:7" s="2754" customFormat="1" ht="14.25" customHeight="1">
      <c r="A304" s="2920" t="s">
        <v>306</v>
      </c>
      <c r="B304" s="2920" t="s">
        <v>2960</v>
      </c>
      <c r="C304" s="2920">
        <v>5680</v>
      </c>
      <c r="D304" s="2920">
        <v>5620</v>
      </c>
      <c r="E304" s="2920">
        <v>6620</v>
      </c>
      <c r="F304" s="2920">
        <v>1050</v>
      </c>
      <c r="G304" s="2933">
        <v>3390</v>
      </c>
    </row>
    <row r="305" spans="1:7" s="2754" customFormat="1" ht="14.25" customHeight="1">
      <c r="A305" s="2920" t="s">
        <v>306</v>
      </c>
      <c r="B305" s="2920" t="s">
        <v>2966</v>
      </c>
      <c r="C305" s="2920">
        <v>5590</v>
      </c>
      <c r="D305" s="2920">
        <v>5530</v>
      </c>
      <c r="E305" s="2920">
        <v>6460</v>
      </c>
      <c r="F305" s="2920">
        <v>900</v>
      </c>
      <c r="G305" s="2933">
        <v>3340</v>
      </c>
    </row>
    <row r="306" spans="1:7" s="2754" customFormat="1" ht="14.25" customHeight="1">
      <c r="A306" s="2920" t="s">
        <v>306</v>
      </c>
      <c r="B306" s="2920" t="s">
        <v>3142</v>
      </c>
      <c r="C306" s="2920">
        <v>5560</v>
      </c>
      <c r="D306" s="2920">
        <v>5510</v>
      </c>
      <c r="E306" s="2920">
        <v>6440</v>
      </c>
      <c r="F306" s="2920">
        <v>900</v>
      </c>
      <c r="G306" s="2933">
        <v>3320</v>
      </c>
    </row>
    <row r="307" spans="1:7" s="2754" customFormat="1" ht="14.25" customHeight="1">
      <c r="A307" s="2920" t="s">
        <v>306</v>
      </c>
      <c r="B307" s="2920" t="s">
        <v>2978</v>
      </c>
      <c r="C307" s="2920">
        <v>5650</v>
      </c>
      <c r="D307" s="2920">
        <v>5600</v>
      </c>
      <c r="E307" s="2920">
        <v>6590</v>
      </c>
      <c r="F307" s="2920">
        <v>930</v>
      </c>
      <c r="G307" s="2933">
        <v>3380</v>
      </c>
    </row>
    <row r="308" spans="1:7" s="2754" customFormat="1" ht="14.25" customHeight="1">
      <c r="A308" s="2920" t="s">
        <v>306</v>
      </c>
      <c r="B308" s="2920" t="s">
        <v>3143</v>
      </c>
      <c r="C308" s="2920">
        <v>5620</v>
      </c>
      <c r="D308" s="2920">
        <v>5580</v>
      </c>
      <c r="E308" s="2920">
        <v>6540</v>
      </c>
      <c r="F308" s="2920">
        <v>910</v>
      </c>
      <c r="G308" s="2933">
        <v>3370</v>
      </c>
    </row>
    <row r="309" spans="1:7" s="2754" customFormat="1" ht="14.25" customHeight="1">
      <c r="A309" s="2920" t="s">
        <v>306</v>
      </c>
      <c r="B309" s="2920" t="s">
        <v>3144</v>
      </c>
      <c r="C309" s="2920">
        <v>5060</v>
      </c>
      <c r="D309" s="2920">
        <v>5020</v>
      </c>
      <c r="E309" s="2920">
        <v>6370</v>
      </c>
      <c r="F309" s="2920">
        <v>800</v>
      </c>
      <c r="G309" s="2933">
        <v>3020</v>
      </c>
    </row>
    <row r="310" spans="1:7" s="2754" customFormat="1" ht="14.25" customHeight="1">
      <c r="A310" s="2920" t="s">
        <v>306</v>
      </c>
      <c r="B310" s="2920" t="s">
        <v>2993</v>
      </c>
      <c r="C310" s="2920">
        <v>5150</v>
      </c>
      <c r="D310" s="2920">
        <v>5110</v>
      </c>
      <c r="E310" s="2920">
        <v>6500</v>
      </c>
      <c r="F310" s="2920">
        <v>880</v>
      </c>
      <c r="G310" s="2933">
        <v>3080</v>
      </c>
    </row>
    <row r="311" spans="1:7" s="2754" customFormat="1" ht="14.25" customHeight="1">
      <c r="A311" s="2920" t="s">
        <v>306</v>
      </c>
      <c r="B311" s="2920" t="s">
        <v>3145</v>
      </c>
      <c r="C311" s="2920">
        <v>4750</v>
      </c>
      <c r="D311" s="2920">
        <v>4710</v>
      </c>
      <c r="E311" s="2920">
        <v>5510</v>
      </c>
      <c r="F311" s="2920">
        <v>880</v>
      </c>
      <c r="G311" s="2933">
        <v>2840</v>
      </c>
    </row>
    <row r="312" spans="1:7" s="2754" customFormat="1" ht="14.25" customHeight="1">
      <c r="A312" s="2920" t="s">
        <v>306</v>
      </c>
      <c r="B312" s="2920" t="s">
        <v>3003</v>
      </c>
      <c r="C312" s="2920">
        <v>4690</v>
      </c>
      <c r="D312" s="2920">
        <v>4640</v>
      </c>
      <c r="E312" s="2920">
        <v>5420</v>
      </c>
      <c r="F312" s="2920">
        <v>800</v>
      </c>
      <c r="G312" s="2933">
        <v>2800</v>
      </c>
    </row>
    <row r="313" spans="1:7" s="2754" customFormat="1" ht="14.25" customHeight="1">
      <c r="A313" s="2920" t="s">
        <v>306</v>
      </c>
      <c r="B313" s="2920" t="s">
        <v>3008</v>
      </c>
      <c r="C313" s="2920">
        <v>4810</v>
      </c>
      <c r="D313" s="2920">
        <v>4760</v>
      </c>
      <c r="E313" s="2920">
        <v>5550</v>
      </c>
      <c r="F313" s="2920">
        <v>920</v>
      </c>
      <c r="G313" s="2933">
        <v>2870</v>
      </c>
    </row>
    <row r="314" spans="1:7" s="2754" customFormat="1" ht="14.25" customHeight="1">
      <c r="A314" s="2920" t="s">
        <v>306</v>
      </c>
      <c r="B314" s="2920" t="s">
        <v>3146</v>
      </c>
      <c r="C314" s="2920"/>
      <c r="D314" s="2920"/>
      <c r="E314" s="2920"/>
      <c r="F314" s="2920">
        <v>1020</v>
      </c>
      <c r="G314" s="2933"/>
    </row>
    <row r="315" spans="1:7" s="2754" customFormat="1" ht="14.25" customHeight="1">
      <c r="A315" s="2920" t="s">
        <v>306</v>
      </c>
      <c r="B315" s="2920" t="s">
        <v>3147</v>
      </c>
      <c r="C315" s="2920"/>
      <c r="D315" s="2920"/>
      <c r="E315" s="2920"/>
      <c r="F315" s="2920">
        <v>1050</v>
      </c>
      <c r="G315" s="2933"/>
    </row>
    <row r="316" spans="1:7" s="2754" customFormat="1" ht="14.25" customHeight="1">
      <c r="A316" s="2920" t="s">
        <v>306</v>
      </c>
      <c r="B316" s="2920" t="s">
        <v>3023</v>
      </c>
      <c r="C316" s="2920"/>
      <c r="D316" s="2920"/>
      <c r="E316" s="2920"/>
      <c r="F316" s="2920">
        <v>900</v>
      </c>
      <c r="G316" s="2933"/>
    </row>
    <row r="317" spans="1:7" s="2754" customFormat="1" ht="14.25" customHeight="1">
      <c r="A317" s="2920" t="s">
        <v>306</v>
      </c>
      <c r="B317" s="2920" t="s">
        <v>3148</v>
      </c>
      <c r="C317" s="2920"/>
      <c r="D317" s="2920"/>
      <c r="E317" s="2920"/>
      <c r="F317" s="2920">
        <v>920</v>
      </c>
      <c r="G317" s="2933"/>
    </row>
    <row r="318" spans="1:7" s="2754" customFormat="1" ht="14.25" customHeight="1">
      <c r="A318" s="2920" t="s">
        <v>306</v>
      </c>
      <c r="B318" s="2920" t="s">
        <v>3149</v>
      </c>
      <c r="C318" s="2920"/>
      <c r="D318" s="2920"/>
      <c r="E318" s="2920"/>
      <c r="F318" s="2920">
        <v>1080</v>
      </c>
      <c r="G318" s="2933"/>
    </row>
    <row r="319" spans="1:7" s="2754" customFormat="1" ht="14.25" customHeight="1">
      <c r="A319" s="2920" t="s">
        <v>306</v>
      </c>
      <c r="B319" s="2920" t="s">
        <v>3036</v>
      </c>
      <c r="C319" s="2920"/>
      <c r="D319" s="2920"/>
      <c r="E319" s="2920"/>
      <c r="F319" s="2920">
        <v>1020</v>
      </c>
      <c r="G319" s="2933"/>
    </row>
    <row r="320" spans="1:7" s="2754" customFormat="1" ht="14.25" customHeight="1">
      <c r="A320" s="2920" t="s">
        <v>306</v>
      </c>
      <c r="B320" s="2920" t="s">
        <v>3039</v>
      </c>
      <c r="C320" s="2920"/>
      <c r="D320" s="2920"/>
      <c r="E320" s="2920"/>
      <c r="F320" s="2920">
        <v>1050</v>
      </c>
      <c r="G320" s="2933"/>
    </row>
    <row r="321" spans="1:7" s="2754" customFormat="1" ht="14.25" customHeight="1">
      <c r="A321" s="2920" t="s">
        <v>306</v>
      </c>
      <c r="B321" s="2920" t="s">
        <v>3041</v>
      </c>
      <c r="C321" s="2920"/>
      <c r="D321" s="2920"/>
      <c r="E321" s="2920"/>
      <c r="F321" s="2920">
        <v>960</v>
      </c>
      <c r="G321" s="2933"/>
    </row>
    <row r="322" spans="1:7" s="2754" customFormat="1" ht="14.25" customHeight="1">
      <c r="A322" s="2920" t="s">
        <v>306</v>
      </c>
      <c r="B322" s="2920" t="s">
        <v>3043</v>
      </c>
      <c r="C322" s="2920"/>
      <c r="D322" s="2920"/>
      <c r="E322" s="2920"/>
      <c r="F322" s="2920">
        <v>960</v>
      </c>
      <c r="G322" s="2933"/>
    </row>
    <row r="323" spans="1:7" s="2754" customFormat="1" ht="14.25" customHeight="1">
      <c r="A323" s="2920" t="s">
        <v>306</v>
      </c>
      <c r="B323" s="2920" t="s">
        <v>3045</v>
      </c>
      <c r="C323" s="2920"/>
      <c r="D323" s="2920"/>
      <c r="E323" s="2920"/>
      <c r="F323" s="2920">
        <v>880</v>
      </c>
      <c r="G323" s="2933"/>
    </row>
    <row r="324" spans="1:7" s="2754" customFormat="1" ht="14.25" customHeight="1">
      <c r="A324" s="2920" t="s">
        <v>306</v>
      </c>
      <c r="B324" s="2920" t="s">
        <v>3047</v>
      </c>
      <c r="C324" s="2920"/>
      <c r="D324" s="2920"/>
      <c r="E324" s="2920"/>
      <c r="F324" s="2920">
        <v>930</v>
      </c>
      <c r="G324" s="2933"/>
    </row>
    <row r="325" spans="1:7" s="2754" customFormat="1" ht="14.25" customHeight="1">
      <c r="A325" s="2920" t="s">
        <v>306</v>
      </c>
      <c r="B325" s="2921" t="s">
        <v>3049</v>
      </c>
      <c r="C325" s="2920"/>
      <c r="D325" s="2920"/>
      <c r="E325" s="2920"/>
      <c r="F325" s="2920">
        <v>900</v>
      </c>
      <c r="G325" s="2933"/>
    </row>
    <row r="326" spans="1:7" s="2754" customFormat="1" ht="14.25" customHeight="1" thickBot="1">
      <c r="A326" s="2934" t="s">
        <v>306</v>
      </c>
      <c r="B326" s="2927" t="s">
        <v>3051</v>
      </c>
      <c r="C326" s="2927"/>
      <c r="D326" s="2927"/>
      <c r="E326" s="2927"/>
      <c r="F326" s="2927">
        <v>790</v>
      </c>
      <c r="G326" s="2935"/>
    </row>
    <row r="327" spans="1:7" s="2754" customFormat="1" ht="14.25" customHeight="1">
      <c r="A327" s="2925" t="s">
        <v>307</v>
      </c>
      <c r="B327" s="2916" t="s">
        <v>3150</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3151</v>
      </c>
      <c r="C329" s="2920">
        <v>2730</v>
      </c>
      <c r="D329" s="2920">
        <v>2690</v>
      </c>
      <c r="E329" s="2920">
        <v>3100</v>
      </c>
      <c r="F329" s="2920">
        <v>660</v>
      </c>
      <c r="G329" s="2920">
        <v>1610</v>
      </c>
    </row>
    <row r="330" spans="1:7" s="2754" customFormat="1" ht="14.25" customHeight="1">
      <c r="A330" s="2920" t="s">
        <v>307</v>
      </c>
      <c r="B330" s="2920" t="s">
        <v>3152</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2885</v>
      </c>
      <c r="C332" s="2920">
        <v>3520</v>
      </c>
      <c r="D332" s="2920">
        <v>3480</v>
      </c>
      <c r="E332" s="2920">
        <v>3830</v>
      </c>
      <c r="F332" s="2920">
        <v>720</v>
      </c>
      <c r="G332" s="2920">
        <v>2090</v>
      </c>
    </row>
    <row r="333" spans="1:7" s="2754" customFormat="1" ht="14.25" customHeight="1">
      <c r="A333" s="2920" t="s">
        <v>307</v>
      </c>
      <c r="B333" s="2920" t="s">
        <v>3153</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2895</v>
      </c>
      <c r="C336" s="2920">
        <v>3570</v>
      </c>
      <c r="D336" s="2920">
        <v>3530</v>
      </c>
      <c r="E336" s="2920">
        <v>3880</v>
      </c>
      <c r="F336" s="2920">
        <v>770</v>
      </c>
      <c r="G336" s="2920">
        <v>2110</v>
      </c>
    </row>
    <row r="337" spans="1:10" s="2754" customFormat="1" ht="14.25" customHeight="1">
      <c r="A337" s="2920" t="s">
        <v>307</v>
      </c>
      <c r="B337" s="2920" t="s">
        <v>3154</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3155</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3156</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2920</v>
      </c>
      <c r="C345" s="2920">
        <v>3190</v>
      </c>
      <c r="D345" s="2920">
        <v>3140</v>
      </c>
      <c r="E345" s="2920">
        <v>3450</v>
      </c>
      <c r="F345" s="2920">
        <v>720</v>
      </c>
      <c r="G345" s="2920">
        <v>1880</v>
      </c>
      <c r="J345" s="2754"/>
    </row>
    <row r="346" spans="1:10">
      <c r="A346" s="2920" t="s">
        <v>307</v>
      </c>
      <c r="B346" s="2920" t="s">
        <v>3157</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2929</v>
      </c>
      <c r="C348" s="2920">
        <v>4000</v>
      </c>
      <c r="D348" s="2920">
        <v>3950</v>
      </c>
      <c r="E348" s="2920">
        <v>4430</v>
      </c>
      <c r="F348" s="2920">
        <v>760</v>
      </c>
      <c r="G348" s="2920">
        <v>2360</v>
      </c>
      <c r="J348" s="2754"/>
    </row>
    <row r="349" spans="1:10">
      <c r="A349" s="2920" t="s">
        <v>307</v>
      </c>
      <c r="B349" s="2920" t="s">
        <v>2934</v>
      </c>
      <c r="C349" s="2920">
        <v>3820</v>
      </c>
      <c r="D349" s="2920">
        <v>3780</v>
      </c>
      <c r="E349" s="2920">
        <v>4170</v>
      </c>
      <c r="F349" s="2920">
        <v>710</v>
      </c>
      <c r="G349" s="2920">
        <v>2260</v>
      </c>
      <c r="J349" s="2754"/>
    </row>
    <row r="350" spans="1:10">
      <c r="A350" s="2920" t="s">
        <v>307</v>
      </c>
      <c r="B350" s="2920" t="s">
        <v>3158</v>
      </c>
      <c r="C350" s="2920">
        <v>3760</v>
      </c>
      <c r="D350" s="2920">
        <v>3730</v>
      </c>
      <c r="E350" s="2920">
        <v>4100</v>
      </c>
      <c r="F350" s="2920">
        <v>800</v>
      </c>
      <c r="G350" s="2920">
        <v>2230</v>
      </c>
      <c r="J350" s="2754"/>
    </row>
    <row r="351" spans="1:10">
      <c r="A351" s="2920" t="s">
        <v>307</v>
      </c>
      <c r="B351" s="2920" t="s">
        <v>2942</v>
      </c>
      <c r="C351" s="2920">
        <v>3610</v>
      </c>
      <c r="D351" s="2920">
        <v>3580</v>
      </c>
      <c r="E351" s="2920">
        <v>3930</v>
      </c>
      <c r="F351" s="2920">
        <v>700</v>
      </c>
      <c r="G351" s="2920">
        <v>2140</v>
      </c>
      <c r="J351" s="2754"/>
    </row>
    <row r="352" spans="1:10">
      <c r="A352" s="2920" t="s">
        <v>307</v>
      </c>
      <c r="B352" s="2920" t="s">
        <v>2947</v>
      </c>
      <c r="C352" s="2920">
        <v>3670</v>
      </c>
      <c r="D352" s="2920">
        <v>3630</v>
      </c>
      <c r="E352" s="2920">
        <v>4000</v>
      </c>
      <c r="F352" s="2920">
        <v>750</v>
      </c>
      <c r="G352" s="2920">
        <v>2180</v>
      </c>
    </row>
    <row r="353" spans="1:7" s="2755" customFormat="1">
      <c r="A353" s="2920" t="s">
        <v>307</v>
      </c>
      <c r="B353" s="2920" t="s">
        <v>3159</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2967</v>
      </c>
      <c r="C355" s="2920">
        <v>3650</v>
      </c>
      <c r="D355" s="2920">
        <v>3610</v>
      </c>
      <c r="E355" s="2920">
        <v>4200</v>
      </c>
      <c r="F355" s="2920">
        <v>640</v>
      </c>
      <c r="G355" s="2920">
        <v>2160</v>
      </c>
    </row>
    <row r="356" spans="1:7" s="2755" customFormat="1">
      <c r="A356" s="2920" t="s">
        <v>307</v>
      </c>
      <c r="B356" s="2920" t="s">
        <v>2974</v>
      </c>
      <c r="C356" s="2920">
        <v>3260</v>
      </c>
      <c r="D356" s="2920">
        <v>3230</v>
      </c>
      <c r="E356" s="2920">
        <v>3740</v>
      </c>
      <c r="F356" s="2920">
        <v>600</v>
      </c>
      <c r="G356" s="2920">
        <v>1930</v>
      </c>
    </row>
    <row r="357" spans="1:7" s="2755" customFormat="1" ht="12" thickBot="1">
      <c r="A357" s="2928" t="s">
        <v>307</v>
      </c>
      <c r="B357" s="2931" t="s">
        <v>3160</v>
      </c>
      <c r="C357" s="2931">
        <v>3690</v>
      </c>
      <c r="D357" s="2931">
        <v>3650</v>
      </c>
      <c r="E357" s="2931">
        <v>4020</v>
      </c>
      <c r="F357" s="2931">
        <v>700</v>
      </c>
      <c r="G357" s="2931">
        <v>2190</v>
      </c>
    </row>
    <row r="358" spans="1:7" s="2755" customFormat="1">
      <c r="A358" s="2925" t="s">
        <v>3161</v>
      </c>
      <c r="B358" s="2916" t="s">
        <v>3162</v>
      </c>
      <c r="C358" s="2916">
        <v>2080</v>
      </c>
      <c r="D358" s="2916">
        <v>2040</v>
      </c>
      <c r="E358" s="2916">
        <v>2010</v>
      </c>
      <c r="F358" s="2916">
        <v>530</v>
      </c>
      <c r="G358" s="2932">
        <v>1230</v>
      </c>
    </row>
    <row r="359" spans="1:7" s="2755" customFormat="1">
      <c r="A359" s="2920" t="s">
        <v>3161</v>
      </c>
      <c r="B359" s="2920" t="s">
        <v>3163</v>
      </c>
      <c r="C359" s="2920">
        <v>1850</v>
      </c>
      <c r="D359" s="2920">
        <v>1820</v>
      </c>
      <c r="E359" s="2920">
        <v>1780</v>
      </c>
      <c r="F359" s="2920">
        <v>520</v>
      </c>
      <c r="G359" s="2933">
        <v>1100</v>
      </c>
    </row>
    <row r="360" spans="1:7" s="2755" customFormat="1">
      <c r="A360" s="2920" t="s">
        <v>3161</v>
      </c>
      <c r="B360" s="2920" t="s">
        <v>3164</v>
      </c>
      <c r="C360" s="2920">
        <v>2020</v>
      </c>
      <c r="D360" s="2920">
        <v>1990</v>
      </c>
      <c r="E360" s="2920">
        <v>1950</v>
      </c>
      <c r="F360" s="2920">
        <v>500</v>
      </c>
      <c r="G360" s="2933">
        <v>1200</v>
      </c>
    </row>
    <row r="361" spans="1:7" s="2755" customFormat="1">
      <c r="A361" s="2920" t="s">
        <v>3161</v>
      </c>
      <c r="B361" s="2920" t="s">
        <v>153</v>
      </c>
      <c r="C361" s="2920">
        <v>2260</v>
      </c>
      <c r="D361" s="2920">
        <v>2220</v>
      </c>
      <c r="E361" s="2920">
        <v>2180</v>
      </c>
      <c r="F361" s="2920">
        <v>580</v>
      </c>
      <c r="G361" s="2933">
        <v>1340</v>
      </c>
    </row>
    <row r="362" spans="1:7" s="2755" customFormat="1">
      <c r="A362" s="2920" t="s">
        <v>3161</v>
      </c>
      <c r="B362" s="2920" t="s">
        <v>3165</v>
      </c>
      <c r="C362" s="2920">
        <v>2650</v>
      </c>
      <c r="D362" s="2920">
        <v>2610</v>
      </c>
      <c r="E362" s="2920">
        <v>2570</v>
      </c>
      <c r="F362" s="2920">
        <v>630</v>
      </c>
      <c r="G362" s="2933">
        <v>1570</v>
      </c>
    </row>
    <row r="363" spans="1:7" s="2755" customFormat="1">
      <c r="A363" s="2920" t="s">
        <v>3161</v>
      </c>
      <c r="B363" s="2920" t="s">
        <v>2886</v>
      </c>
      <c r="C363" s="2920">
        <v>2390</v>
      </c>
      <c r="D363" s="2920">
        <v>2360</v>
      </c>
      <c r="E363" s="2920">
        <v>2320</v>
      </c>
      <c r="F363" s="2920">
        <v>600</v>
      </c>
      <c r="G363" s="2933">
        <v>1420</v>
      </c>
    </row>
    <row r="364" spans="1:7" s="2755" customFormat="1">
      <c r="A364" s="2920" t="s">
        <v>3161</v>
      </c>
      <c r="B364" s="2920" t="s">
        <v>3166</v>
      </c>
      <c r="C364" s="2920">
        <v>2050</v>
      </c>
      <c r="D364" s="2920">
        <v>2030</v>
      </c>
      <c r="E364" s="2920">
        <v>1990</v>
      </c>
      <c r="F364" s="2920">
        <v>550</v>
      </c>
      <c r="G364" s="2933">
        <v>1220</v>
      </c>
    </row>
    <row r="365" spans="1:7" s="2755" customFormat="1">
      <c r="A365" s="2920" t="s">
        <v>3161</v>
      </c>
      <c r="B365" s="2920" t="s">
        <v>200</v>
      </c>
      <c r="C365" s="2920">
        <v>2140</v>
      </c>
      <c r="D365" s="2920">
        <v>2100</v>
      </c>
      <c r="E365" s="2920">
        <v>2060</v>
      </c>
      <c r="F365" s="2920">
        <v>540</v>
      </c>
      <c r="G365" s="2933">
        <v>1270</v>
      </c>
    </row>
    <row r="366" spans="1:7" s="2755" customFormat="1">
      <c r="A366" s="2920" t="s">
        <v>3161</v>
      </c>
      <c r="B366" s="2920" t="s">
        <v>2893</v>
      </c>
      <c r="C366" s="2920">
        <v>2410</v>
      </c>
      <c r="D366" s="2920">
        <v>2370</v>
      </c>
      <c r="E366" s="2920">
        <v>2330</v>
      </c>
      <c r="F366" s="2920">
        <v>570</v>
      </c>
      <c r="G366" s="2933">
        <v>1440</v>
      </c>
    </row>
    <row r="367" spans="1:7" s="2755" customFormat="1">
      <c r="A367" s="2920" t="s">
        <v>3161</v>
      </c>
      <c r="B367" s="2920" t="s">
        <v>3167</v>
      </c>
      <c r="C367" s="2920">
        <v>2300</v>
      </c>
      <c r="D367" s="2920">
        <v>2260</v>
      </c>
      <c r="E367" s="2920">
        <v>2220</v>
      </c>
      <c r="F367" s="2920">
        <v>560</v>
      </c>
      <c r="G367" s="2933">
        <v>1370</v>
      </c>
    </row>
    <row r="368" spans="1:7" s="2755" customFormat="1">
      <c r="A368" s="2920" t="s">
        <v>3161</v>
      </c>
      <c r="B368" s="2920" t="s">
        <v>3168</v>
      </c>
      <c r="C368" s="2920">
        <v>2430</v>
      </c>
      <c r="D368" s="2920">
        <v>2390</v>
      </c>
      <c r="E368" s="2920">
        <v>2350</v>
      </c>
      <c r="F368" s="2920">
        <v>570</v>
      </c>
      <c r="G368" s="2933">
        <v>1450</v>
      </c>
    </row>
    <row r="369" spans="1:7" s="2755" customFormat="1">
      <c r="A369" s="2920" t="s">
        <v>3161</v>
      </c>
      <c r="B369" s="2920" t="s">
        <v>214</v>
      </c>
      <c r="C369" s="2920">
        <v>2320</v>
      </c>
      <c r="D369" s="2920">
        <v>2290</v>
      </c>
      <c r="E369" s="2920">
        <v>2250</v>
      </c>
      <c r="F369" s="2920">
        <v>550</v>
      </c>
      <c r="G369" s="2933">
        <v>1380</v>
      </c>
    </row>
    <row r="370" spans="1:7" s="2755" customFormat="1">
      <c r="A370" s="2920" t="s">
        <v>3161</v>
      </c>
      <c r="B370" s="2920" t="s">
        <v>221</v>
      </c>
      <c r="C370" s="2920">
        <v>2190</v>
      </c>
      <c r="D370" s="2920">
        <v>2170</v>
      </c>
      <c r="E370" s="2920">
        <v>2130</v>
      </c>
      <c r="F370" s="2920">
        <v>530</v>
      </c>
      <c r="G370" s="2933">
        <v>1310</v>
      </c>
    </row>
    <row r="371" spans="1:7" s="2755" customFormat="1">
      <c r="A371" s="2920" t="s">
        <v>3161</v>
      </c>
      <c r="B371" s="2920" t="s">
        <v>229</v>
      </c>
      <c r="C371" s="2920">
        <v>2460</v>
      </c>
      <c r="D371" s="2920">
        <v>2420</v>
      </c>
      <c r="E371" s="2920">
        <v>2370</v>
      </c>
      <c r="F371" s="2920">
        <v>560</v>
      </c>
      <c r="G371" s="2933">
        <v>1470</v>
      </c>
    </row>
    <row r="372" spans="1:7" s="2755" customFormat="1">
      <c r="A372" s="2920" t="s">
        <v>3161</v>
      </c>
      <c r="B372" s="2920" t="s">
        <v>3169</v>
      </c>
      <c r="C372" s="2920">
        <v>2250</v>
      </c>
      <c r="D372" s="2920">
        <v>2210</v>
      </c>
      <c r="E372" s="2920">
        <v>2180</v>
      </c>
      <c r="F372" s="2920">
        <v>550</v>
      </c>
      <c r="G372" s="2933">
        <v>1340</v>
      </c>
    </row>
    <row r="373" spans="1:7" s="2755" customFormat="1">
      <c r="A373" s="2920" t="s">
        <v>3161</v>
      </c>
      <c r="B373" s="2920" t="s">
        <v>258</v>
      </c>
      <c r="C373" s="2920">
        <v>2210</v>
      </c>
      <c r="D373" s="2920">
        <v>2190</v>
      </c>
      <c r="E373" s="2920">
        <v>2150</v>
      </c>
      <c r="F373" s="2920">
        <v>530</v>
      </c>
      <c r="G373" s="2933">
        <v>1320</v>
      </c>
    </row>
    <row r="374" spans="1:7" s="2755" customFormat="1">
      <c r="A374" s="2920" t="s">
        <v>3161</v>
      </c>
      <c r="B374" s="2920" t="s">
        <v>266</v>
      </c>
      <c r="C374" s="2920">
        <v>2320</v>
      </c>
      <c r="D374" s="2920">
        <v>2280</v>
      </c>
      <c r="E374" s="2920">
        <v>2230</v>
      </c>
      <c r="F374" s="2920">
        <v>580</v>
      </c>
      <c r="G374" s="2933">
        <v>1380</v>
      </c>
    </row>
    <row r="375" spans="1:7" s="2755" customFormat="1">
      <c r="A375" s="2920" t="s">
        <v>3161</v>
      </c>
      <c r="B375" s="2920" t="s">
        <v>3170</v>
      </c>
      <c r="C375" s="2920">
        <v>2090</v>
      </c>
      <c r="D375" s="2920">
        <v>2050</v>
      </c>
      <c r="E375" s="2920">
        <v>2020</v>
      </c>
      <c r="F375" s="2920">
        <v>520</v>
      </c>
      <c r="G375" s="2933">
        <v>1240</v>
      </c>
    </row>
    <row r="376" spans="1:7" s="2755" customFormat="1">
      <c r="A376" s="2920" t="s">
        <v>3161</v>
      </c>
      <c r="B376" s="2920" t="s">
        <v>277</v>
      </c>
      <c r="C376" s="2920">
        <v>2010</v>
      </c>
      <c r="D376" s="2920">
        <v>1980</v>
      </c>
      <c r="E376" s="2920">
        <v>1940</v>
      </c>
      <c r="F376" s="2920">
        <v>540</v>
      </c>
      <c r="G376" s="2933">
        <v>1190</v>
      </c>
    </row>
    <row r="377" spans="1:7" s="2755" customFormat="1" ht="12" thickBot="1">
      <c r="A377" s="2928" t="s">
        <v>3161</v>
      </c>
      <c r="B377" s="2931" t="s">
        <v>2923</v>
      </c>
      <c r="C377" s="2931">
        <v>1930</v>
      </c>
      <c r="D377" s="2931">
        <v>1890</v>
      </c>
      <c r="E377" s="2931">
        <v>1860</v>
      </c>
      <c r="F377" s="2931">
        <v>530</v>
      </c>
      <c r="G377" s="2936">
        <v>1150</v>
      </c>
    </row>
    <row r="378" spans="1:7" s="2755" customFormat="1">
      <c r="A378" s="2937" t="s">
        <v>3171</v>
      </c>
      <c r="B378" s="2916" t="s">
        <v>3172</v>
      </c>
      <c r="C378" s="2916">
        <v>1520</v>
      </c>
      <c r="D378" s="2916">
        <v>1490</v>
      </c>
      <c r="E378" s="2916">
        <v>1460</v>
      </c>
      <c r="F378" s="2916">
        <v>460</v>
      </c>
      <c r="G378" s="2932">
        <v>940</v>
      </c>
    </row>
    <row r="379" spans="1:7" s="2755" customFormat="1">
      <c r="A379" s="2938" t="s">
        <v>3171</v>
      </c>
      <c r="B379" s="2920" t="s">
        <v>3173</v>
      </c>
      <c r="C379" s="2920">
        <v>1500</v>
      </c>
      <c r="D379" s="2920">
        <v>1470</v>
      </c>
      <c r="E379" s="2920">
        <v>1430</v>
      </c>
      <c r="F379" s="2920">
        <v>460</v>
      </c>
      <c r="G379" s="2933">
        <v>920</v>
      </c>
    </row>
    <row r="380" spans="1:7" s="2755" customFormat="1">
      <c r="A380" s="2938" t="s">
        <v>3171</v>
      </c>
      <c r="B380" s="2920" t="s">
        <v>3174</v>
      </c>
      <c r="C380" s="2920">
        <v>1620</v>
      </c>
      <c r="D380" s="2920">
        <v>1590</v>
      </c>
      <c r="E380" s="2920">
        <v>1560</v>
      </c>
      <c r="F380" s="2920">
        <v>480</v>
      </c>
      <c r="G380" s="2933">
        <v>1000</v>
      </c>
    </row>
    <row r="381" spans="1:7" s="2755" customFormat="1">
      <c r="A381" s="2938" t="s">
        <v>3171</v>
      </c>
      <c r="B381" s="2920" t="s">
        <v>3175</v>
      </c>
      <c r="C381" s="2920">
        <v>1460</v>
      </c>
      <c r="D381" s="2920">
        <v>1430</v>
      </c>
      <c r="E381" s="2920">
        <v>1390</v>
      </c>
      <c r="F381" s="2920">
        <v>450</v>
      </c>
      <c r="G381" s="2933">
        <v>900</v>
      </c>
    </row>
    <row r="382" spans="1:7" s="2755" customFormat="1">
      <c r="A382" s="2938" t="s">
        <v>3171</v>
      </c>
      <c r="B382" s="2920" t="s">
        <v>3176</v>
      </c>
      <c r="C382" s="2920">
        <v>1310</v>
      </c>
      <c r="D382" s="2920">
        <v>1280</v>
      </c>
      <c r="E382" s="2920">
        <v>1250</v>
      </c>
      <c r="F382" s="2920">
        <v>440</v>
      </c>
      <c r="G382" s="2933">
        <v>800</v>
      </c>
    </row>
    <row r="383" spans="1:7" s="2755" customFormat="1">
      <c r="A383" s="2938" t="s">
        <v>3171</v>
      </c>
      <c r="B383" s="2920" t="s">
        <v>3177</v>
      </c>
      <c r="C383" s="2920">
        <v>1260</v>
      </c>
      <c r="D383" s="2920">
        <v>1230</v>
      </c>
      <c r="E383" s="2920">
        <v>1200</v>
      </c>
      <c r="F383" s="2920">
        <v>420</v>
      </c>
      <c r="G383" s="2933">
        <v>770</v>
      </c>
    </row>
    <row r="384" spans="1:7" s="2755" customFormat="1" ht="12" thickBot="1">
      <c r="A384" s="2939" t="s">
        <v>3171</v>
      </c>
      <c r="B384" s="2927" t="s">
        <v>3178</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464" t="s">
        <v>3179</v>
      </c>
      <c r="B1" s="3464"/>
    </row>
    <row r="2" spans="1:7" ht="14.25" thickBot="1">
      <c r="A2" s="2941"/>
      <c r="B2" s="2941"/>
    </row>
    <row r="3" spans="1:7" ht="14.25" thickBot="1">
      <c r="A3" s="2941"/>
      <c r="B3" s="2941"/>
      <c r="C3" s="2942" t="s">
        <v>2809</v>
      </c>
      <c r="D3" s="2942" t="s">
        <v>2865</v>
      </c>
      <c r="E3" s="2942" t="s">
        <v>2811</v>
      </c>
      <c r="F3" s="2942" t="s">
        <v>2866</v>
      </c>
      <c r="G3" s="2942" t="s">
        <v>2629</v>
      </c>
    </row>
    <row r="4" spans="1:7" ht="14.25" thickBot="1">
      <c r="A4" s="2943" t="s">
        <v>2864</v>
      </c>
      <c r="B4" s="2944" t="s">
        <v>2870</v>
      </c>
      <c r="C4" s="2942"/>
      <c r="D4" s="2942"/>
      <c r="E4" s="2942"/>
      <c r="F4" s="2942"/>
      <c r="G4" s="2942"/>
    </row>
    <row r="5" spans="1:7">
      <c r="A5" s="2945" t="s">
        <v>2838</v>
      </c>
      <c r="B5" s="2946" t="s">
        <v>2852</v>
      </c>
      <c r="C5" s="2947">
        <v>9.8000000000000004E-2</v>
      </c>
      <c r="D5" s="2947">
        <v>8.6999999999999994E-2</v>
      </c>
      <c r="E5" s="2947">
        <v>8.6999999999999994E-2</v>
      </c>
      <c r="F5" s="2947">
        <v>9.8000000000000004E-2</v>
      </c>
      <c r="G5" s="2948">
        <v>9.5000000000000001E-2</v>
      </c>
    </row>
    <row r="6" spans="1:7">
      <c r="A6" s="2949" t="s">
        <v>144</v>
      </c>
      <c r="B6" s="2950" t="s">
        <v>2867</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2853</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2903</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2921</v>
      </c>
      <c r="C29" s="2959"/>
      <c r="D29" s="2955">
        <v>5.1999999999999998E-2</v>
      </c>
      <c r="E29" s="2955">
        <v>7.0000000000000007E-2</v>
      </c>
      <c r="F29" s="2959"/>
      <c r="G29" s="2957">
        <v>7.0999999999999994E-2</v>
      </c>
    </row>
    <row r="30" spans="1:7">
      <c r="A30" s="2960" t="s">
        <v>296</v>
      </c>
      <c r="B30" s="2946" t="s">
        <v>2854</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2840</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2924</v>
      </c>
      <c r="C50" s="2951">
        <v>9.8000000000000004E-2</v>
      </c>
      <c r="D50" s="2951">
        <v>7.2999999999999995E-2</v>
      </c>
      <c r="E50" s="2951">
        <v>7.0999999999999994E-2</v>
      </c>
      <c r="F50" s="2962"/>
      <c r="G50" s="2952">
        <v>7.2999999999999995E-2</v>
      </c>
    </row>
    <row r="51" spans="1:7">
      <c r="A51" s="2961" t="s">
        <v>296</v>
      </c>
      <c r="B51" s="2950" t="s">
        <v>2926</v>
      </c>
      <c r="C51" s="2951">
        <v>9.9000000000000005E-2</v>
      </c>
      <c r="D51" s="2951">
        <v>8.5000000000000006E-2</v>
      </c>
      <c r="E51" s="2951">
        <v>6.3E-2</v>
      </c>
      <c r="F51" s="2962"/>
      <c r="G51" s="2952">
        <v>9.6000000000000002E-2</v>
      </c>
    </row>
    <row r="52" spans="1:7">
      <c r="A52" s="2961" t="s">
        <v>296</v>
      </c>
      <c r="B52" s="2950" t="s">
        <v>2930</v>
      </c>
      <c r="C52" s="2951">
        <v>7.3999999999999996E-2</v>
      </c>
      <c r="D52" s="2951">
        <v>9.6000000000000002E-2</v>
      </c>
      <c r="E52" s="2951">
        <v>0.05</v>
      </c>
      <c r="F52" s="2962"/>
      <c r="G52" s="2952">
        <v>9.8000000000000004E-2</v>
      </c>
    </row>
    <row r="53" spans="1:7">
      <c r="A53" s="2961" t="s">
        <v>296</v>
      </c>
      <c r="B53" s="2950" t="s">
        <v>2935</v>
      </c>
      <c r="C53" s="2951">
        <v>8.5999999999999993E-2</v>
      </c>
      <c r="D53" s="2962"/>
      <c r="E53" s="2951">
        <v>9.1999999999999998E-2</v>
      </c>
      <c r="F53" s="2962"/>
      <c r="G53" s="2963"/>
    </row>
    <row r="54" spans="1:7" ht="14.25" thickBot="1">
      <c r="A54" s="2964" t="s">
        <v>296</v>
      </c>
      <c r="B54" s="2954" t="s">
        <v>2938</v>
      </c>
      <c r="C54" s="2955">
        <v>9.6000000000000002E-2</v>
      </c>
      <c r="D54" s="2956"/>
      <c r="E54" s="2965"/>
      <c r="F54" s="2956"/>
      <c r="G54" s="2966"/>
    </row>
    <row r="55" spans="1:7">
      <c r="A55" s="2960" t="s">
        <v>110</v>
      </c>
      <c r="B55" s="2946" t="s">
        <v>2855</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2936</v>
      </c>
      <c r="C78" s="2951">
        <v>0.1</v>
      </c>
      <c r="D78" s="2951">
        <v>8.5000000000000006E-2</v>
      </c>
      <c r="E78" s="2951">
        <v>9.6000000000000002E-2</v>
      </c>
      <c r="F78" s="2962"/>
      <c r="G78" s="2952">
        <v>9.6000000000000002E-2</v>
      </c>
    </row>
    <row r="79" spans="1:7">
      <c r="A79" s="2961" t="s">
        <v>110</v>
      </c>
      <c r="B79" s="2950" t="s">
        <v>2939</v>
      </c>
      <c r="C79" s="2951">
        <v>0.05</v>
      </c>
      <c r="D79" s="2951">
        <v>9.6000000000000002E-2</v>
      </c>
      <c r="E79" s="2951">
        <v>9.5000000000000001E-2</v>
      </c>
      <c r="F79" s="2962"/>
      <c r="G79" s="2952">
        <v>9.8000000000000004E-2</v>
      </c>
    </row>
    <row r="80" spans="1:7">
      <c r="A80" s="2961" t="s">
        <v>110</v>
      </c>
      <c r="B80" s="2950" t="s">
        <v>2943</v>
      </c>
      <c r="C80" s="2951">
        <v>8.5999999999999993E-2</v>
      </c>
      <c r="D80" s="2967"/>
      <c r="E80" s="2951">
        <v>0.1</v>
      </c>
      <c r="F80" s="2962"/>
      <c r="G80" s="2963"/>
    </row>
    <row r="81" spans="1:7">
      <c r="A81" s="2961" t="s">
        <v>110</v>
      </c>
      <c r="B81" s="2950" t="s">
        <v>2948</v>
      </c>
      <c r="C81" s="2951">
        <v>9.6000000000000002E-2</v>
      </c>
      <c r="D81" s="2962"/>
      <c r="E81" s="2951">
        <v>9.8000000000000004E-2</v>
      </c>
      <c r="F81" s="2962"/>
      <c r="G81" s="2963"/>
    </row>
    <row r="82" spans="1:7">
      <c r="A82" s="2961" t="s">
        <v>110</v>
      </c>
      <c r="B82" s="2950" t="s">
        <v>2955</v>
      </c>
      <c r="C82" s="2967"/>
      <c r="D82" s="2962"/>
      <c r="E82" s="2951">
        <v>7.6999999999999999E-2</v>
      </c>
      <c r="F82" s="2962"/>
      <c r="G82" s="2963"/>
    </row>
    <row r="83" spans="1:7">
      <c r="A83" s="2961" t="s">
        <v>110</v>
      </c>
      <c r="B83" s="2950" t="s">
        <v>2961</v>
      </c>
      <c r="C83" s="2962"/>
      <c r="D83" s="2962"/>
      <c r="E83" s="2962"/>
      <c r="F83" s="2951">
        <v>0.1</v>
      </c>
      <c r="G83" s="2968"/>
    </row>
    <row r="84" spans="1:7">
      <c r="A84" s="2961" t="s">
        <v>110</v>
      </c>
      <c r="B84" s="2950" t="s">
        <v>2968</v>
      </c>
      <c r="C84" s="2962"/>
      <c r="D84" s="2962"/>
      <c r="E84" s="2962"/>
      <c r="F84" s="2951">
        <v>0.1</v>
      </c>
      <c r="G84" s="2968"/>
    </row>
    <row r="85" spans="1:7">
      <c r="A85" s="2961" t="s">
        <v>110</v>
      </c>
      <c r="B85" s="2950" t="s">
        <v>2975</v>
      </c>
      <c r="C85" s="2962"/>
      <c r="D85" s="2962"/>
      <c r="E85" s="2962"/>
      <c r="F85" s="2951">
        <v>0.1</v>
      </c>
      <c r="G85" s="2968"/>
    </row>
    <row r="86" spans="1:7" ht="14.25" thickBot="1">
      <c r="A86" s="2964" t="s">
        <v>110</v>
      </c>
      <c r="B86" s="2954" t="s">
        <v>2980</v>
      </c>
      <c r="C86" s="2955">
        <v>9.8000000000000004E-2</v>
      </c>
      <c r="D86" s="2955">
        <v>9.8000000000000004E-2</v>
      </c>
      <c r="E86" s="2955">
        <v>9.6000000000000002E-2</v>
      </c>
      <c r="F86" s="2965"/>
      <c r="G86" s="2957">
        <v>0.1</v>
      </c>
    </row>
    <row r="87" spans="1:7">
      <c r="A87" s="2960" t="s">
        <v>303</v>
      </c>
      <c r="B87" s="2946" t="s">
        <v>2856</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2949</v>
      </c>
      <c r="C113" s="2951">
        <v>0.1</v>
      </c>
      <c r="D113" s="2951">
        <v>0.1</v>
      </c>
      <c r="E113" s="2962"/>
      <c r="F113" s="2962"/>
      <c r="G113" s="2952">
        <v>0.1</v>
      </c>
    </row>
    <row r="114" spans="1:7">
      <c r="A114" s="2961" t="s">
        <v>303</v>
      </c>
      <c r="B114" s="2950" t="s">
        <v>2956</v>
      </c>
      <c r="C114" s="2951">
        <v>9.7000000000000003E-2</v>
      </c>
      <c r="D114" s="2951">
        <v>9.7000000000000003E-2</v>
      </c>
      <c r="E114" s="2962"/>
      <c r="F114" s="2962"/>
      <c r="G114" s="2952">
        <v>9.9000000000000005E-2</v>
      </c>
    </row>
    <row r="115" spans="1:7">
      <c r="A115" s="2961" t="s">
        <v>303</v>
      </c>
      <c r="B115" s="2950" t="s">
        <v>2962</v>
      </c>
      <c r="C115" s="2951">
        <v>0.1</v>
      </c>
      <c r="D115" s="2951">
        <v>0.1</v>
      </c>
      <c r="E115" s="2962"/>
      <c r="F115" s="2962"/>
      <c r="G115" s="2952">
        <v>0.1</v>
      </c>
    </row>
    <row r="116" spans="1:7">
      <c r="A116" s="2961" t="s">
        <v>303</v>
      </c>
      <c r="B116" s="2950" t="s">
        <v>2969</v>
      </c>
      <c r="C116" s="2951">
        <v>0.1</v>
      </c>
      <c r="D116" s="2951">
        <v>0.1</v>
      </c>
      <c r="E116" s="2962"/>
      <c r="F116" s="2962"/>
      <c r="G116" s="2952">
        <v>0.1</v>
      </c>
    </row>
    <row r="117" spans="1:7">
      <c r="A117" s="2961" t="s">
        <v>303</v>
      </c>
      <c r="B117" s="2950" t="s">
        <v>2976</v>
      </c>
      <c r="C117" s="2951">
        <v>9.7000000000000003E-2</v>
      </c>
      <c r="D117" s="2951">
        <v>9.7000000000000003E-2</v>
      </c>
      <c r="E117" s="2962"/>
      <c r="F117" s="2962"/>
      <c r="G117" s="2952">
        <v>9.7000000000000003E-2</v>
      </c>
    </row>
    <row r="118" spans="1:7">
      <c r="A118" s="2961" t="s">
        <v>303</v>
      </c>
      <c r="B118" s="2950" t="s">
        <v>2981</v>
      </c>
      <c r="C118" s="2951">
        <v>0.1</v>
      </c>
      <c r="D118" s="2951">
        <v>0.1</v>
      </c>
      <c r="E118" s="2962"/>
      <c r="F118" s="2962"/>
      <c r="G118" s="2952">
        <v>0.1</v>
      </c>
    </row>
    <row r="119" spans="1:7">
      <c r="A119" s="2961" t="s">
        <v>303</v>
      </c>
      <c r="B119" s="2950" t="s">
        <v>2985</v>
      </c>
      <c r="C119" s="2951">
        <v>5.0999999999999997E-2</v>
      </c>
      <c r="D119" s="2951">
        <v>5.1999999999999998E-2</v>
      </c>
      <c r="E119" s="2962"/>
      <c r="F119" s="2967"/>
      <c r="G119" s="2952">
        <v>0.06</v>
      </c>
    </row>
    <row r="120" spans="1:7">
      <c r="A120" s="2961" t="s">
        <v>303</v>
      </c>
      <c r="B120" s="2950" t="s">
        <v>2989</v>
      </c>
      <c r="C120" s="2962"/>
      <c r="D120" s="2962"/>
      <c r="E120" s="2962"/>
      <c r="F120" s="2951">
        <v>0.1</v>
      </c>
      <c r="G120" s="2968"/>
    </row>
    <row r="121" spans="1:7">
      <c r="A121" s="2961" t="s">
        <v>303</v>
      </c>
      <c r="B121" s="2950" t="s">
        <v>2994</v>
      </c>
      <c r="C121" s="2962"/>
      <c r="D121" s="2962"/>
      <c r="E121" s="2962"/>
      <c r="F121" s="2951">
        <v>0.1</v>
      </c>
      <c r="G121" s="2968"/>
    </row>
    <row r="122" spans="1:7">
      <c r="A122" s="2961" t="s">
        <v>303</v>
      </c>
      <c r="B122" s="2950" t="s">
        <v>2999</v>
      </c>
      <c r="C122" s="2951">
        <v>0.1</v>
      </c>
      <c r="D122" s="2951">
        <v>0.1</v>
      </c>
      <c r="E122" s="2951">
        <v>9.8000000000000004E-2</v>
      </c>
      <c r="F122" s="2951">
        <v>0.1</v>
      </c>
      <c r="G122" s="2952">
        <v>0.1</v>
      </c>
    </row>
    <row r="123" spans="1:7">
      <c r="A123" s="2961" t="s">
        <v>303</v>
      </c>
      <c r="B123" s="2950" t="s">
        <v>3004</v>
      </c>
      <c r="C123" s="2951">
        <v>0.1</v>
      </c>
      <c r="D123" s="2951">
        <v>0.1</v>
      </c>
      <c r="E123" s="2951">
        <v>9.8000000000000004E-2</v>
      </c>
      <c r="F123" s="2951">
        <v>0.1</v>
      </c>
      <c r="G123" s="2952">
        <v>0.1</v>
      </c>
    </row>
    <row r="124" spans="1:7">
      <c r="A124" s="2961" t="s">
        <v>303</v>
      </c>
      <c r="B124" s="2950" t="s">
        <v>3009</v>
      </c>
      <c r="C124" s="2951">
        <v>0.1</v>
      </c>
      <c r="D124" s="2951">
        <v>0.1</v>
      </c>
      <c r="E124" s="2951">
        <v>9.8000000000000004E-2</v>
      </c>
      <c r="F124" s="2967"/>
      <c r="G124" s="2952">
        <v>0.1</v>
      </c>
    </row>
    <row r="125" spans="1:7">
      <c r="A125" s="2961" t="s">
        <v>303</v>
      </c>
      <c r="B125" s="2950" t="s">
        <v>3014</v>
      </c>
      <c r="C125" s="2951">
        <v>9.8000000000000004E-2</v>
      </c>
      <c r="D125" s="2951">
        <v>9.8000000000000004E-2</v>
      </c>
      <c r="E125" s="2951">
        <v>9.6000000000000002E-2</v>
      </c>
      <c r="F125" s="2967"/>
      <c r="G125" s="2952">
        <v>0.1</v>
      </c>
    </row>
    <row r="126" spans="1:7" ht="14.25" thickBot="1">
      <c r="A126" s="2964" t="s">
        <v>303</v>
      </c>
      <c r="B126" s="2954" t="s">
        <v>3180</v>
      </c>
      <c r="C126" s="2955">
        <v>0.1</v>
      </c>
      <c r="D126" s="2955">
        <v>0.1</v>
      </c>
      <c r="E126" s="2955">
        <v>9.8000000000000004E-2</v>
      </c>
      <c r="F126" s="2955">
        <v>0.1</v>
      </c>
      <c r="G126" s="2957">
        <v>0.1</v>
      </c>
    </row>
    <row r="127" spans="1:7">
      <c r="A127" s="2960" t="s">
        <v>29</v>
      </c>
      <c r="B127" s="2946" t="s">
        <v>2857</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2927</v>
      </c>
      <c r="C148" s="2951">
        <v>0.13</v>
      </c>
      <c r="D148" s="2951">
        <v>0.13</v>
      </c>
      <c r="E148" s="2951">
        <v>0.13</v>
      </c>
      <c r="F148" s="2962"/>
      <c r="G148" s="2952">
        <v>0.13</v>
      </c>
    </row>
    <row r="149" spans="1:7">
      <c r="A149" s="2961" t="s">
        <v>29</v>
      </c>
      <c r="B149" s="2950" t="s">
        <v>2931</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2950</v>
      </c>
      <c r="C153" s="2951">
        <v>0.13</v>
      </c>
      <c r="D153" s="2951">
        <v>0.13</v>
      </c>
      <c r="E153" s="2951">
        <v>0.13</v>
      </c>
      <c r="F153" s="2951">
        <v>0.13</v>
      </c>
      <c r="G153" s="2952">
        <v>0.13</v>
      </c>
    </row>
    <row r="154" spans="1:7">
      <c r="A154" s="2961" t="s">
        <v>29</v>
      </c>
      <c r="B154" s="2950" t="s">
        <v>2957</v>
      </c>
      <c r="C154" s="2951">
        <v>0.121</v>
      </c>
      <c r="D154" s="2951">
        <v>0.121</v>
      </c>
      <c r="E154" s="2951">
        <v>0.105</v>
      </c>
      <c r="F154" s="2951">
        <v>0.121</v>
      </c>
      <c r="G154" s="2952">
        <v>0.123</v>
      </c>
    </row>
    <row r="155" spans="1:7">
      <c r="A155" s="2961" t="s">
        <v>29</v>
      </c>
      <c r="B155" s="2950" t="s">
        <v>2963</v>
      </c>
      <c r="C155" s="2951">
        <v>0.1</v>
      </c>
      <c r="D155" s="2951">
        <v>0.1</v>
      </c>
      <c r="E155" s="2951">
        <v>0.1</v>
      </c>
      <c r="F155" s="2951">
        <v>0.1</v>
      </c>
      <c r="G155" s="2952">
        <v>0.1</v>
      </c>
    </row>
    <row r="156" spans="1:7">
      <c r="A156" s="2961" t="s">
        <v>29</v>
      </c>
      <c r="B156" s="2950" t="s">
        <v>2970</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2990</v>
      </c>
      <c r="C160" s="2951">
        <v>0.13</v>
      </c>
      <c r="D160" s="2951">
        <v>0.13</v>
      </c>
      <c r="E160" s="2951">
        <v>0.124</v>
      </c>
      <c r="F160" s="2951">
        <v>0.126</v>
      </c>
      <c r="G160" s="2952">
        <v>0.13</v>
      </c>
    </row>
    <row r="161" spans="1:7">
      <c r="A161" s="2961" t="s">
        <v>29</v>
      </c>
      <c r="B161" s="2950" t="s">
        <v>2995</v>
      </c>
      <c r="C161" s="2951">
        <v>0.13</v>
      </c>
      <c r="D161" s="2951">
        <v>0.13</v>
      </c>
      <c r="E161" s="2951">
        <v>0.124</v>
      </c>
      <c r="F161" s="2951">
        <v>0.127</v>
      </c>
      <c r="G161" s="2952">
        <v>0.13</v>
      </c>
    </row>
    <row r="162" spans="1:7">
      <c r="A162" s="2961" t="s">
        <v>29</v>
      </c>
      <c r="B162" s="2950" t="s">
        <v>3000</v>
      </c>
      <c r="C162" s="2951">
        <v>0.1</v>
      </c>
      <c r="D162" s="2951">
        <v>0.1</v>
      </c>
      <c r="E162" s="2951">
        <v>0.1</v>
      </c>
      <c r="F162" s="2951">
        <v>0.121</v>
      </c>
      <c r="G162" s="2952">
        <v>0.105</v>
      </c>
    </row>
    <row r="163" spans="1:7">
      <c r="A163" s="2961" t="s">
        <v>29</v>
      </c>
      <c r="B163" s="2950" t="s">
        <v>3005</v>
      </c>
      <c r="C163" s="2951">
        <v>0.1</v>
      </c>
      <c r="D163" s="2951">
        <v>0.1</v>
      </c>
      <c r="E163" s="2951">
        <v>0.1</v>
      </c>
      <c r="F163" s="2951">
        <v>0.1</v>
      </c>
      <c r="G163" s="2952">
        <v>0.1</v>
      </c>
    </row>
    <row r="164" spans="1:7">
      <c r="A164" s="2961" t="s">
        <v>29</v>
      </c>
      <c r="B164" s="2950" t="s">
        <v>3010</v>
      </c>
      <c r="C164" s="2967"/>
      <c r="D164" s="2967"/>
      <c r="E164" s="2967"/>
      <c r="F164" s="2951">
        <v>0.1</v>
      </c>
      <c r="G164" s="2963"/>
    </row>
    <row r="165" spans="1:7">
      <c r="A165" s="2961" t="s">
        <v>29</v>
      </c>
      <c r="B165" s="2950" t="s">
        <v>3181</v>
      </c>
      <c r="C165" s="2951">
        <v>0.126</v>
      </c>
      <c r="D165" s="2951">
        <v>0.126</v>
      </c>
      <c r="E165" s="2951">
        <v>0.11899999999999999</v>
      </c>
      <c r="F165" s="2951">
        <v>0.13</v>
      </c>
      <c r="G165" s="2952">
        <v>0.128</v>
      </c>
    </row>
    <row r="166" spans="1:7">
      <c r="A166" s="2961" t="s">
        <v>29</v>
      </c>
      <c r="B166" s="2950" t="s">
        <v>3020</v>
      </c>
      <c r="C166" s="2951">
        <v>0.129</v>
      </c>
      <c r="D166" s="2951">
        <v>0.129</v>
      </c>
      <c r="E166" s="2951">
        <v>0.123</v>
      </c>
      <c r="F166" s="2951">
        <v>0.128</v>
      </c>
      <c r="G166" s="2952">
        <v>0.13</v>
      </c>
    </row>
    <row r="167" spans="1:7">
      <c r="A167" s="2961" t="s">
        <v>29</v>
      </c>
      <c r="B167" s="2950" t="s">
        <v>3024</v>
      </c>
      <c r="C167" s="2951">
        <v>0.125</v>
      </c>
      <c r="D167" s="2951">
        <v>0.125</v>
      </c>
      <c r="E167" s="2951">
        <v>0.11700000000000001</v>
      </c>
      <c r="F167" s="2951">
        <v>0.13</v>
      </c>
      <c r="G167" s="2952">
        <v>0.126</v>
      </c>
    </row>
    <row r="168" spans="1:7">
      <c r="A168" s="2961" t="s">
        <v>29</v>
      </c>
      <c r="B168" s="2950" t="s">
        <v>3029</v>
      </c>
      <c r="C168" s="2951">
        <v>0.128</v>
      </c>
      <c r="D168" s="2951">
        <v>0.128</v>
      </c>
      <c r="E168" s="2951">
        <v>0.123</v>
      </c>
      <c r="F168" s="2962"/>
      <c r="G168" s="2952">
        <v>0.13</v>
      </c>
    </row>
    <row r="169" spans="1:7">
      <c r="A169" s="2961" t="s">
        <v>29</v>
      </c>
      <c r="B169" s="2950" t="s">
        <v>3182</v>
      </c>
      <c r="C169" s="2967"/>
      <c r="D169" s="2967"/>
      <c r="E169" s="2967"/>
      <c r="F169" s="2951">
        <v>0.05</v>
      </c>
      <c r="G169" s="2963"/>
    </row>
    <row r="170" spans="1:7">
      <c r="A170" s="2961" t="s">
        <v>29</v>
      </c>
      <c r="B170" s="2950" t="s">
        <v>3183</v>
      </c>
      <c r="C170" s="2967"/>
      <c r="D170" s="2967"/>
      <c r="E170" s="2967"/>
      <c r="F170" s="2951">
        <v>0.05</v>
      </c>
      <c r="G170" s="2963"/>
    </row>
    <row r="171" spans="1:7">
      <c r="A171" s="2961" t="s">
        <v>29</v>
      </c>
      <c r="B171" s="2950" t="s">
        <v>3184</v>
      </c>
      <c r="C171" s="2967"/>
      <c r="D171" s="2967"/>
      <c r="E171" s="2967"/>
      <c r="F171" s="2951">
        <v>0.05</v>
      </c>
      <c r="G171" s="2968"/>
    </row>
    <row r="172" spans="1:7">
      <c r="A172" s="2961" t="s">
        <v>29</v>
      </c>
      <c r="B172" s="2950" t="s">
        <v>3185</v>
      </c>
      <c r="C172" s="2967"/>
      <c r="D172" s="2967"/>
      <c r="E172" s="2967"/>
      <c r="F172" s="2951">
        <v>0.05</v>
      </c>
      <c r="G172" s="2968"/>
    </row>
    <row r="173" spans="1:7">
      <c r="A173" s="2961" t="s">
        <v>29</v>
      </c>
      <c r="B173" s="2950" t="s">
        <v>3186</v>
      </c>
      <c r="C173" s="2967"/>
      <c r="D173" s="2967"/>
      <c r="E173" s="2967"/>
      <c r="F173" s="2951">
        <v>0.05</v>
      </c>
      <c r="G173" s="2963"/>
    </row>
    <row r="174" spans="1:7">
      <c r="A174" s="2961" t="s">
        <v>29</v>
      </c>
      <c r="B174" s="2950" t="s">
        <v>3187</v>
      </c>
      <c r="C174" s="2967"/>
      <c r="D174" s="2967"/>
      <c r="E174" s="2967"/>
      <c r="F174" s="2951">
        <v>0.05</v>
      </c>
      <c r="G174" s="2963"/>
    </row>
    <row r="175" spans="1:7">
      <c r="A175" s="2961" t="s">
        <v>29</v>
      </c>
      <c r="B175" s="2950" t="s">
        <v>3188</v>
      </c>
      <c r="C175" s="2967"/>
      <c r="D175" s="2967"/>
      <c r="E175" s="2967"/>
      <c r="F175" s="2951">
        <v>0.05</v>
      </c>
      <c r="G175" s="2963"/>
    </row>
    <row r="176" spans="1:7">
      <c r="A176" s="2961" t="s">
        <v>29</v>
      </c>
      <c r="B176" s="2950" t="s">
        <v>3189</v>
      </c>
      <c r="C176" s="2967"/>
      <c r="D176" s="2967"/>
      <c r="E176" s="2967"/>
      <c r="F176" s="2951">
        <v>0.05</v>
      </c>
      <c r="G176" s="2963"/>
    </row>
    <row r="177" spans="1:7">
      <c r="A177" s="2961" t="s">
        <v>29</v>
      </c>
      <c r="B177" s="2950" t="s">
        <v>3190</v>
      </c>
      <c r="C177" s="2962"/>
      <c r="D177" s="2962"/>
      <c r="E177" s="2962"/>
      <c r="F177" s="2951">
        <v>0.05</v>
      </c>
      <c r="G177" s="2968"/>
    </row>
    <row r="178" spans="1:7">
      <c r="A178" s="2961" t="s">
        <v>29</v>
      </c>
      <c r="B178" s="2950" t="s">
        <v>3191</v>
      </c>
      <c r="C178" s="2962"/>
      <c r="D178" s="2962"/>
      <c r="E178" s="2962"/>
      <c r="F178" s="2951">
        <v>0.05</v>
      </c>
      <c r="G178" s="2968"/>
    </row>
    <row r="179" spans="1:7">
      <c r="A179" s="2961" t="s">
        <v>29</v>
      </c>
      <c r="B179" s="2950" t="s">
        <v>3192</v>
      </c>
      <c r="C179" s="2962"/>
      <c r="D179" s="2962"/>
      <c r="E179" s="2962"/>
      <c r="F179" s="2951">
        <v>0.05</v>
      </c>
      <c r="G179" s="2968"/>
    </row>
    <row r="180" spans="1:7">
      <c r="A180" s="2961" t="s">
        <v>29</v>
      </c>
      <c r="B180" s="2950" t="s">
        <v>3193</v>
      </c>
      <c r="C180" s="2962"/>
      <c r="D180" s="2962"/>
      <c r="E180" s="2962"/>
      <c r="F180" s="2951">
        <v>0.05</v>
      </c>
      <c r="G180" s="2968"/>
    </row>
    <row r="181" spans="1:7">
      <c r="A181" s="2961" t="s">
        <v>29</v>
      </c>
      <c r="B181" s="2950" t="s">
        <v>3194</v>
      </c>
      <c r="C181" s="2962"/>
      <c r="D181" s="2962"/>
      <c r="E181" s="2962"/>
      <c r="F181" s="2951">
        <v>0.05</v>
      </c>
      <c r="G181" s="2968"/>
    </row>
    <row r="182" spans="1:7">
      <c r="A182" s="2961" t="s">
        <v>29</v>
      </c>
      <c r="B182" s="2950" t="s">
        <v>3195</v>
      </c>
      <c r="C182" s="2962"/>
      <c r="D182" s="2962"/>
      <c r="E182" s="2962"/>
      <c r="F182" s="2951">
        <v>0.05</v>
      </c>
      <c r="G182" s="2968"/>
    </row>
    <row r="183" spans="1:7">
      <c r="A183" s="2961" t="s">
        <v>29</v>
      </c>
      <c r="B183" s="2950" t="s">
        <v>3196</v>
      </c>
      <c r="C183" s="2962"/>
      <c r="D183" s="2962"/>
      <c r="E183" s="2962"/>
      <c r="F183" s="2951">
        <v>0.05</v>
      </c>
      <c r="G183" s="2968"/>
    </row>
    <row r="184" spans="1:7">
      <c r="A184" s="2961" t="s">
        <v>29</v>
      </c>
      <c r="B184" s="2950" t="s">
        <v>3197</v>
      </c>
      <c r="C184" s="2962"/>
      <c r="D184" s="2962"/>
      <c r="E184" s="2962"/>
      <c r="F184" s="2951">
        <v>0.05</v>
      </c>
      <c r="G184" s="2968"/>
    </row>
    <row r="185" spans="1:7">
      <c r="A185" s="2961" t="s">
        <v>29</v>
      </c>
      <c r="B185" s="2950" t="s">
        <v>3198</v>
      </c>
      <c r="C185" s="2962"/>
      <c r="D185" s="2962"/>
      <c r="E185" s="2962"/>
      <c r="F185" s="2951">
        <v>0.05</v>
      </c>
      <c r="G185" s="2968"/>
    </row>
    <row r="186" spans="1:7">
      <c r="A186" s="2961" t="s">
        <v>29</v>
      </c>
      <c r="B186" s="2950" t="s">
        <v>3199</v>
      </c>
      <c r="C186" s="2962"/>
      <c r="D186" s="2962"/>
      <c r="E186" s="2962"/>
      <c r="F186" s="2951">
        <v>0.05</v>
      </c>
      <c r="G186" s="2968"/>
    </row>
    <row r="187" spans="1:7">
      <c r="A187" s="2961" t="s">
        <v>29</v>
      </c>
      <c r="B187" s="2950" t="s">
        <v>3200</v>
      </c>
      <c r="C187" s="2962"/>
      <c r="D187" s="2962"/>
      <c r="E187" s="2962"/>
      <c r="F187" s="2951">
        <v>0.05</v>
      </c>
      <c r="G187" s="2968"/>
    </row>
    <row r="188" spans="1:7">
      <c r="A188" s="2961" t="s">
        <v>29</v>
      </c>
      <c r="B188" s="2950" t="s">
        <v>3201</v>
      </c>
      <c r="C188" s="2962"/>
      <c r="D188" s="2962"/>
      <c r="E188" s="2962"/>
      <c r="F188" s="2951">
        <v>0.05</v>
      </c>
      <c r="G188" s="2968"/>
    </row>
    <row r="189" spans="1:7" ht="14.25" thickBot="1">
      <c r="A189" s="2964" t="s">
        <v>29</v>
      </c>
      <c r="B189" s="2954" t="s">
        <v>3202</v>
      </c>
      <c r="C189" s="2956"/>
      <c r="D189" s="2956"/>
      <c r="E189" s="2956"/>
      <c r="F189" s="2955">
        <v>0.05</v>
      </c>
      <c r="G189" s="2969"/>
    </row>
    <row r="190" spans="1:7">
      <c r="A190" s="2960" t="s">
        <v>304</v>
      </c>
      <c r="B190" s="2946" t="s">
        <v>2858</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2894</v>
      </c>
      <c r="C199" s="2951">
        <v>0.13</v>
      </c>
      <c r="D199" s="2951">
        <v>0.13</v>
      </c>
      <c r="E199" s="2951">
        <v>0.13</v>
      </c>
      <c r="F199" s="2951">
        <v>0.13</v>
      </c>
      <c r="G199" s="2952">
        <v>0.13</v>
      </c>
    </row>
    <row r="200" spans="1:7">
      <c r="A200" s="2961" t="s">
        <v>304</v>
      </c>
      <c r="B200" s="2950" t="s">
        <v>2897</v>
      </c>
      <c r="C200" s="2967"/>
      <c r="D200" s="2967"/>
      <c r="E200" s="2967"/>
      <c r="F200" s="2951">
        <v>0.13</v>
      </c>
      <c r="G200" s="2963"/>
    </row>
    <row r="201" spans="1:7">
      <c r="A201" s="2961" t="s">
        <v>304</v>
      </c>
      <c r="B201" s="2950" t="s">
        <v>2902</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2905</v>
      </c>
      <c r="C203" s="2951">
        <v>0.129</v>
      </c>
      <c r="D203" s="2951">
        <v>0.129</v>
      </c>
      <c r="E203" s="2951">
        <v>0.13</v>
      </c>
      <c r="F203" s="2951">
        <v>0.13</v>
      </c>
      <c r="G203" s="2952">
        <v>0.13</v>
      </c>
    </row>
    <row r="204" spans="1:7">
      <c r="A204" s="2961" t="s">
        <v>304</v>
      </c>
      <c r="B204" s="2950" t="s">
        <v>2908</v>
      </c>
      <c r="C204" s="2951">
        <v>0.129</v>
      </c>
      <c r="D204" s="2951">
        <v>0.129</v>
      </c>
      <c r="E204" s="2951">
        <v>0.123</v>
      </c>
      <c r="F204" s="2951">
        <v>0.13</v>
      </c>
      <c r="G204" s="2952">
        <v>0.13</v>
      </c>
    </row>
    <row r="205" spans="1:7">
      <c r="A205" s="2961" t="s">
        <v>304</v>
      </c>
      <c r="B205" s="2950" t="s">
        <v>2910</v>
      </c>
      <c r="C205" s="2951">
        <v>0.13</v>
      </c>
      <c r="D205" s="2951">
        <v>0.13</v>
      </c>
      <c r="E205" s="2951">
        <v>0.13</v>
      </c>
      <c r="F205" s="2951">
        <v>0.13</v>
      </c>
      <c r="G205" s="2952">
        <v>0.13</v>
      </c>
    </row>
    <row r="206" spans="1:7">
      <c r="A206" s="2961" t="s">
        <v>304</v>
      </c>
      <c r="B206" s="2950" t="s">
        <v>2913</v>
      </c>
      <c r="C206" s="2951">
        <v>0.13</v>
      </c>
      <c r="D206" s="2951">
        <v>0.13</v>
      </c>
      <c r="E206" s="2951">
        <v>0.13</v>
      </c>
      <c r="F206" s="2951">
        <v>0.128</v>
      </c>
      <c r="G206" s="2952">
        <v>0.13</v>
      </c>
    </row>
    <row r="207" spans="1:7">
      <c r="A207" s="2961" t="s">
        <v>304</v>
      </c>
      <c r="B207" s="2950" t="s">
        <v>2915</v>
      </c>
      <c r="C207" s="2951">
        <v>0.13</v>
      </c>
      <c r="D207" s="2951">
        <v>0.13</v>
      </c>
      <c r="E207" s="2951">
        <v>0.13</v>
      </c>
      <c r="F207" s="2951">
        <v>0.13</v>
      </c>
      <c r="G207" s="2952">
        <v>0.13</v>
      </c>
    </row>
    <row r="208" spans="1:7">
      <c r="A208" s="2961" t="s">
        <v>304</v>
      </c>
      <c r="B208" s="2950" t="s">
        <v>2918</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2925</v>
      </c>
      <c r="C210" s="2951">
        <v>0.121</v>
      </c>
      <c r="D210" s="2951">
        <v>0.121</v>
      </c>
      <c r="E210" s="2951">
        <v>0.125</v>
      </c>
      <c r="F210" s="2951">
        <v>0.13</v>
      </c>
      <c r="G210" s="2952">
        <v>0.123</v>
      </c>
    </row>
    <row r="211" spans="1:7">
      <c r="A211" s="2961" t="s">
        <v>304</v>
      </c>
      <c r="B211" s="2950" t="s">
        <v>2928</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2940</v>
      </c>
      <c r="C214" s="2951">
        <v>0.128</v>
      </c>
      <c r="D214" s="2951">
        <v>0.128</v>
      </c>
      <c r="E214" s="2951">
        <v>0.13</v>
      </c>
      <c r="F214" s="2951">
        <v>0.13</v>
      </c>
      <c r="G214" s="2952">
        <v>0.13</v>
      </c>
    </row>
    <row r="215" spans="1:7">
      <c r="A215" s="2961" t="s">
        <v>304</v>
      </c>
      <c r="B215" s="2950" t="s">
        <v>2944</v>
      </c>
      <c r="C215" s="2951">
        <v>0.13</v>
      </c>
      <c r="D215" s="2951">
        <v>0.13</v>
      </c>
      <c r="E215" s="2951">
        <v>0.13</v>
      </c>
      <c r="F215" s="2951">
        <v>0.129</v>
      </c>
      <c r="G215" s="2952">
        <v>0.13</v>
      </c>
    </row>
    <row r="216" spans="1:7">
      <c r="A216" s="2961" t="s">
        <v>304</v>
      </c>
      <c r="B216" s="2950" t="s">
        <v>2951</v>
      </c>
      <c r="C216" s="2951">
        <v>0.13</v>
      </c>
      <c r="D216" s="2951">
        <v>0.13</v>
      </c>
      <c r="E216" s="2951">
        <v>0.13</v>
      </c>
      <c r="F216" s="2951">
        <v>0.13</v>
      </c>
      <c r="G216" s="2952">
        <v>0.13</v>
      </c>
    </row>
    <row r="217" spans="1:7">
      <c r="A217" s="2961" t="s">
        <v>304</v>
      </c>
      <c r="B217" s="2950" t="s">
        <v>2958</v>
      </c>
      <c r="C217" s="2951">
        <v>0.129</v>
      </c>
      <c r="D217" s="2951">
        <v>0.129</v>
      </c>
      <c r="E217" s="2951">
        <v>0.13</v>
      </c>
      <c r="F217" s="2951">
        <v>0.13</v>
      </c>
      <c r="G217" s="2952">
        <v>0.13</v>
      </c>
    </row>
    <row r="218" spans="1:7">
      <c r="A218" s="2961" t="s">
        <v>304</v>
      </c>
      <c r="B218" s="2950" t="s">
        <v>2964</v>
      </c>
      <c r="C218" s="2962"/>
      <c r="D218" s="2962"/>
      <c r="E218" s="2962"/>
      <c r="F218" s="2951">
        <v>0.05</v>
      </c>
      <c r="G218" s="2968"/>
    </row>
    <row r="219" spans="1:7">
      <c r="A219" s="2961" t="s">
        <v>304</v>
      </c>
      <c r="B219" s="2950" t="s">
        <v>2971</v>
      </c>
      <c r="C219" s="2962"/>
      <c r="D219" s="2962"/>
      <c r="E219" s="2962"/>
      <c r="F219" s="2951">
        <v>0.05</v>
      </c>
      <c r="G219" s="2968"/>
    </row>
    <row r="220" spans="1:7">
      <c r="A220" s="2961" t="s">
        <v>304</v>
      </c>
      <c r="B220" s="2950" t="s">
        <v>2977</v>
      </c>
      <c r="C220" s="2962"/>
      <c r="D220" s="2962"/>
      <c r="E220" s="2962"/>
      <c r="F220" s="2951">
        <v>0.05</v>
      </c>
      <c r="G220" s="2968"/>
    </row>
    <row r="221" spans="1:7">
      <c r="A221" s="2961" t="s">
        <v>304</v>
      </c>
      <c r="B221" s="2950" t="s">
        <v>2982</v>
      </c>
      <c r="C221" s="2962"/>
      <c r="D221" s="2962"/>
      <c r="E221" s="2962"/>
      <c r="F221" s="2951">
        <v>0.05</v>
      </c>
      <c r="G221" s="2968"/>
    </row>
    <row r="222" spans="1:7">
      <c r="A222" s="2961" t="s">
        <v>304</v>
      </c>
      <c r="B222" s="2950" t="s">
        <v>2986</v>
      </c>
      <c r="C222" s="2962"/>
      <c r="D222" s="2962"/>
      <c r="E222" s="2962"/>
      <c r="F222" s="2951">
        <v>0.05</v>
      </c>
      <c r="G222" s="2968"/>
    </row>
    <row r="223" spans="1:7">
      <c r="A223" s="2961" t="s">
        <v>304</v>
      </c>
      <c r="B223" s="2950" t="s">
        <v>2991</v>
      </c>
      <c r="C223" s="2962"/>
      <c r="D223" s="2962"/>
      <c r="E223" s="2962"/>
      <c r="F223" s="2951">
        <v>0.05</v>
      </c>
      <c r="G223" s="2968"/>
    </row>
    <row r="224" spans="1:7">
      <c r="A224" s="2961" t="s">
        <v>304</v>
      </c>
      <c r="B224" s="2950" t="s">
        <v>2996</v>
      </c>
      <c r="C224" s="2962"/>
      <c r="D224" s="2962"/>
      <c r="E224" s="2962"/>
      <c r="F224" s="2951">
        <v>0.05</v>
      </c>
      <c r="G224" s="2968"/>
    </row>
    <row r="225" spans="1:7">
      <c r="A225" s="2961" t="s">
        <v>304</v>
      </c>
      <c r="B225" s="2950" t="s">
        <v>3001</v>
      </c>
      <c r="C225" s="2962"/>
      <c r="D225" s="2962"/>
      <c r="E225" s="2962"/>
      <c r="F225" s="2951">
        <v>0.05</v>
      </c>
      <c r="G225" s="2968"/>
    </row>
    <row r="226" spans="1:7">
      <c r="A226" s="2961" t="s">
        <v>304</v>
      </c>
      <c r="B226" s="2950" t="s">
        <v>3203</v>
      </c>
      <c r="C226" s="2962"/>
      <c r="D226" s="2962"/>
      <c r="E226" s="2962"/>
      <c r="F226" s="2951">
        <v>0.05</v>
      </c>
      <c r="G226" s="2968"/>
    </row>
    <row r="227" spans="1:7">
      <c r="A227" s="2961" t="s">
        <v>304</v>
      </c>
      <c r="B227" s="2950" t="s">
        <v>3204</v>
      </c>
      <c r="C227" s="2962"/>
      <c r="D227" s="2962"/>
      <c r="E227" s="2962"/>
      <c r="F227" s="2951">
        <v>0.05</v>
      </c>
      <c r="G227" s="2968"/>
    </row>
    <row r="228" spans="1:7">
      <c r="A228" s="2961" t="s">
        <v>304</v>
      </c>
      <c r="B228" s="2950" t="s">
        <v>3205</v>
      </c>
      <c r="C228" s="2962"/>
      <c r="D228" s="2962"/>
      <c r="E228" s="2962"/>
      <c r="F228" s="2951">
        <v>0.05</v>
      </c>
      <c r="G228" s="2968"/>
    </row>
    <row r="229" spans="1:7">
      <c r="A229" s="2961" t="s">
        <v>304</v>
      </c>
      <c r="B229" s="2950" t="s">
        <v>3206</v>
      </c>
      <c r="C229" s="2962"/>
      <c r="D229" s="2962"/>
      <c r="E229" s="2962"/>
      <c r="F229" s="2951">
        <v>0.05</v>
      </c>
      <c r="G229" s="2968"/>
    </row>
    <row r="230" spans="1:7">
      <c r="A230" s="2961" t="s">
        <v>304</v>
      </c>
      <c r="B230" s="2950" t="s">
        <v>3207</v>
      </c>
      <c r="C230" s="2962"/>
      <c r="D230" s="2962"/>
      <c r="E230" s="2962"/>
      <c r="F230" s="2951">
        <v>0.05</v>
      </c>
      <c r="G230" s="2968"/>
    </row>
    <row r="231" spans="1:7">
      <c r="A231" s="2961" t="s">
        <v>304</v>
      </c>
      <c r="B231" s="2950" t="s">
        <v>3208</v>
      </c>
      <c r="C231" s="2962"/>
      <c r="D231" s="2962"/>
      <c r="E231" s="2962"/>
      <c r="F231" s="2951">
        <v>0.05</v>
      </c>
      <c r="G231" s="2968"/>
    </row>
    <row r="232" spans="1:7">
      <c r="A232" s="2961" t="s">
        <v>304</v>
      </c>
      <c r="B232" s="2950" t="s">
        <v>3209</v>
      </c>
      <c r="C232" s="2962"/>
      <c r="D232" s="2962"/>
      <c r="E232" s="2962"/>
      <c r="F232" s="2951">
        <v>0.05</v>
      </c>
      <c r="G232" s="2968"/>
    </row>
    <row r="233" spans="1:7" ht="14.25" thickBot="1">
      <c r="A233" s="2964" t="s">
        <v>304</v>
      </c>
      <c r="B233" s="2954" t="s">
        <v>3210</v>
      </c>
      <c r="C233" s="2956"/>
      <c r="D233" s="2956"/>
      <c r="E233" s="2956"/>
      <c r="F233" s="2955">
        <v>0.05</v>
      </c>
      <c r="G233" s="2969"/>
    </row>
    <row r="234" spans="1:7">
      <c r="A234" s="2960" t="s">
        <v>305</v>
      </c>
      <c r="B234" s="2946" t="s">
        <v>2859</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2879</v>
      </c>
      <c r="C238" s="2951">
        <v>0.14899999999999999</v>
      </c>
      <c r="D238" s="2951">
        <v>0.14899999999999999</v>
      </c>
      <c r="E238" s="2951">
        <v>0.15</v>
      </c>
      <c r="F238" s="2951">
        <v>0.15</v>
      </c>
      <c r="G238" s="2952">
        <v>0.15</v>
      </c>
    </row>
    <row r="239" spans="1:7">
      <c r="A239" s="2961" t="s">
        <v>305</v>
      </c>
      <c r="B239" s="2950" t="s">
        <v>2883</v>
      </c>
      <c r="C239" s="2951">
        <v>0.15</v>
      </c>
      <c r="D239" s="2951">
        <v>0.15</v>
      </c>
      <c r="E239" s="2951">
        <v>0.15</v>
      </c>
      <c r="F239" s="2951">
        <v>0.15</v>
      </c>
      <c r="G239" s="2952">
        <v>0.15</v>
      </c>
    </row>
    <row r="240" spans="1:7">
      <c r="A240" s="2961" t="s">
        <v>305</v>
      </c>
      <c r="B240" s="2950" t="s">
        <v>2888</v>
      </c>
      <c r="C240" s="2951">
        <v>0.15</v>
      </c>
      <c r="D240" s="2951">
        <v>0.15</v>
      </c>
      <c r="E240" s="2951">
        <v>0.15</v>
      </c>
      <c r="F240" s="2951">
        <v>0.15</v>
      </c>
      <c r="G240" s="2952">
        <v>0.15</v>
      </c>
    </row>
    <row r="241" spans="1:7">
      <c r="A241" s="2961" t="s">
        <v>305</v>
      </c>
      <c r="B241" s="2950" t="s">
        <v>2892</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2898</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2906</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2911</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2919</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2932</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2941</v>
      </c>
      <c r="C258" s="2951">
        <v>0.14299999999999999</v>
      </c>
      <c r="D258" s="2951">
        <v>0.14299999999999999</v>
      </c>
      <c r="E258" s="2951">
        <v>0.15</v>
      </c>
      <c r="F258" s="2951">
        <v>0.14799999999999999</v>
      </c>
      <c r="G258" s="2952">
        <v>0.14599999999999999</v>
      </c>
    </row>
    <row r="259" spans="1:7">
      <c r="A259" s="2961" t="s">
        <v>305</v>
      </c>
      <c r="B259" s="2950" t="s">
        <v>2945</v>
      </c>
      <c r="C259" s="2951">
        <v>0.14399999999999999</v>
      </c>
      <c r="D259" s="2951">
        <v>0.14399999999999999</v>
      </c>
      <c r="E259" s="2951">
        <v>0.14899999999999999</v>
      </c>
      <c r="F259" s="2951">
        <v>0.14699999999999999</v>
      </c>
      <c r="G259" s="2952">
        <v>0.14599999999999999</v>
      </c>
    </row>
    <row r="260" spans="1:7">
      <c r="A260" s="2961" t="s">
        <v>305</v>
      </c>
      <c r="B260" s="2950" t="s">
        <v>2952</v>
      </c>
      <c r="C260" s="2951">
        <v>0.109</v>
      </c>
      <c r="D260" s="2951">
        <v>0.111</v>
      </c>
      <c r="E260" s="2951">
        <v>0.13100000000000001</v>
      </c>
      <c r="F260" s="2951">
        <v>0.126</v>
      </c>
      <c r="G260" s="2952">
        <v>0.11899999999999999</v>
      </c>
    </row>
    <row r="261" spans="1:7">
      <c r="A261" s="2961" t="s">
        <v>305</v>
      </c>
      <c r="B261" s="2950" t="s">
        <v>2959</v>
      </c>
      <c r="C261" s="2951">
        <v>0.1</v>
      </c>
      <c r="D261" s="2951">
        <v>0.1</v>
      </c>
      <c r="E261" s="2951">
        <v>0.11799999999999999</v>
      </c>
      <c r="F261" s="2951">
        <v>0.108</v>
      </c>
      <c r="G261" s="2952">
        <v>0.107</v>
      </c>
    </row>
    <row r="262" spans="1:7">
      <c r="A262" s="2961" t="s">
        <v>305</v>
      </c>
      <c r="B262" s="2950" t="s">
        <v>2965</v>
      </c>
      <c r="C262" s="2951">
        <v>0.1</v>
      </c>
      <c r="D262" s="2951">
        <v>0.1</v>
      </c>
      <c r="E262" s="2951">
        <v>0.1</v>
      </c>
      <c r="F262" s="2951">
        <v>0.14099999999999999</v>
      </c>
      <c r="G262" s="2952">
        <v>0.1</v>
      </c>
    </row>
    <row r="263" spans="1:7">
      <c r="A263" s="2961" t="s">
        <v>305</v>
      </c>
      <c r="B263" s="2950" t="s">
        <v>2972</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2983</v>
      </c>
      <c r="C265" s="2962"/>
      <c r="D265" s="2962"/>
      <c r="E265" s="2962"/>
      <c r="F265" s="2951">
        <v>0.05</v>
      </c>
      <c r="G265" s="2968"/>
    </row>
    <row r="266" spans="1:7">
      <c r="A266" s="2961" t="s">
        <v>305</v>
      </c>
      <c r="B266" s="2950" t="s">
        <v>2987</v>
      </c>
      <c r="C266" s="2962"/>
      <c r="D266" s="2962"/>
      <c r="E266" s="2962"/>
      <c r="F266" s="2951">
        <v>0.05</v>
      </c>
      <c r="G266" s="2968"/>
    </row>
    <row r="267" spans="1:7">
      <c r="A267" s="2961" t="s">
        <v>305</v>
      </c>
      <c r="B267" s="2950" t="s">
        <v>2992</v>
      </c>
      <c r="C267" s="2962"/>
      <c r="D267" s="2962"/>
      <c r="E267" s="2962"/>
      <c r="F267" s="2951">
        <v>0.05</v>
      </c>
      <c r="G267" s="2968"/>
    </row>
    <row r="268" spans="1:7">
      <c r="A268" s="2961" t="s">
        <v>305</v>
      </c>
      <c r="B268" s="2950" t="s">
        <v>2997</v>
      </c>
      <c r="C268" s="2962"/>
      <c r="D268" s="2962"/>
      <c r="E268" s="2962"/>
      <c r="F268" s="2951">
        <v>0.05</v>
      </c>
      <c r="G268" s="2968"/>
    </row>
    <row r="269" spans="1:7">
      <c r="A269" s="2961" t="s">
        <v>305</v>
      </c>
      <c r="B269" s="2950" t="s">
        <v>3002</v>
      </c>
      <c r="C269" s="2962"/>
      <c r="D269" s="2962"/>
      <c r="E269" s="2962"/>
      <c r="F269" s="2951">
        <v>0.05</v>
      </c>
      <c r="G269" s="2968"/>
    </row>
    <row r="270" spans="1:7">
      <c r="A270" s="2961" t="s">
        <v>305</v>
      </c>
      <c r="B270" s="2950" t="s">
        <v>3007</v>
      </c>
      <c r="C270" s="2962"/>
      <c r="D270" s="2962"/>
      <c r="E270" s="2962"/>
      <c r="F270" s="2951">
        <v>0.05</v>
      </c>
      <c r="G270" s="2968"/>
    </row>
    <row r="271" spans="1:7">
      <c r="A271" s="2961" t="s">
        <v>305</v>
      </c>
      <c r="B271" s="2950" t="s">
        <v>3211</v>
      </c>
      <c r="C271" s="2962"/>
      <c r="D271" s="2962"/>
      <c r="E271" s="2962"/>
      <c r="F271" s="2951">
        <v>0.05</v>
      </c>
      <c r="G271" s="2968"/>
    </row>
    <row r="272" spans="1:7">
      <c r="A272" s="2961" t="s">
        <v>305</v>
      </c>
      <c r="B272" s="2950" t="s">
        <v>3212</v>
      </c>
      <c r="C272" s="2962"/>
      <c r="D272" s="2962"/>
      <c r="E272" s="2962"/>
      <c r="F272" s="2951">
        <v>0.05</v>
      </c>
      <c r="G272" s="2968"/>
    </row>
    <row r="273" spans="1:7">
      <c r="A273" s="2961" t="s">
        <v>305</v>
      </c>
      <c r="B273" s="2950" t="s">
        <v>3213</v>
      </c>
      <c r="C273" s="2962"/>
      <c r="D273" s="2962"/>
      <c r="E273" s="2962"/>
      <c r="F273" s="2951">
        <v>0.05</v>
      </c>
      <c r="G273" s="2968"/>
    </row>
    <row r="274" spans="1:7">
      <c r="A274" s="2961" t="s">
        <v>305</v>
      </c>
      <c r="B274" s="2950" t="s">
        <v>3214</v>
      </c>
      <c r="C274" s="2962"/>
      <c r="D274" s="2962"/>
      <c r="E274" s="2962"/>
      <c r="F274" s="2951">
        <v>0.05</v>
      </c>
      <c r="G274" s="2968"/>
    </row>
    <row r="275" spans="1:7">
      <c r="A275" s="2961" t="s">
        <v>305</v>
      </c>
      <c r="B275" s="2950" t="s">
        <v>3215</v>
      </c>
      <c r="C275" s="2962"/>
      <c r="D275" s="2962"/>
      <c r="E275" s="2962"/>
      <c r="F275" s="2951">
        <v>0.05</v>
      </c>
      <c r="G275" s="2968"/>
    </row>
    <row r="276" spans="1:7" ht="14.25" thickBot="1">
      <c r="A276" s="2964" t="s">
        <v>305</v>
      </c>
      <c r="B276" s="2954" t="s">
        <v>3216</v>
      </c>
      <c r="C276" s="2956"/>
      <c r="D276" s="2956"/>
      <c r="E276" s="2956"/>
      <c r="F276" s="2955">
        <v>0.05</v>
      </c>
      <c r="G276" s="2969"/>
    </row>
    <row r="277" spans="1:7">
      <c r="A277" s="2960" t="s">
        <v>306</v>
      </c>
      <c r="B277" s="2946" t="s">
        <v>2860</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2872</v>
      </c>
      <c r="C279" s="2951">
        <v>0.15</v>
      </c>
      <c r="D279" s="2951">
        <v>0.15</v>
      </c>
      <c r="E279" s="2951">
        <v>0.15</v>
      </c>
      <c r="F279" s="2951">
        <v>0.15</v>
      </c>
      <c r="G279" s="2952">
        <v>0.15</v>
      </c>
    </row>
    <row r="280" spans="1:7">
      <c r="A280" s="2961" t="s">
        <v>306</v>
      </c>
      <c r="B280" s="2950" t="s">
        <v>2876</v>
      </c>
      <c r="C280" s="2951">
        <v>0.15</v>
      </c>
      <c r="D280" s="2951">
        <v>0.15</v>
      </c>
      <c r="E280" s="2951">
        <v>0.15</v>
      </c>
      <c r="F280" s="2951">
        <v>0.15</v>
      </c>
      <c r="G280" s="2952">
        <v>0.15</v>
      </c>
    </row>
    <row r="281" spans="1:7">
      <c r="A281" s="2961" t="s">
        <v>306</v>
      </c>
      <c r="B281" s="2950" t="s">
        <v>2880</v>
      </c>
      <c r="C281" s="2951">
        <v>0.15</v>
      </c>
      <c r="D281" s="2951">
        <v>0.15</v>
      </c>
      <c r="E281" s="2951">
        <v>0.15</v>
      </c>
      <c r="F281" s="2951">
        <v>0.15</v>
      </c>
      <c r="G281" s="2952">
        <v>0.15</v>
      </c>
    </row>
    <row r="282" spans="1:7">
      <c r="A282" s="2961" t="s">
        <v>306</v>
      </c>
      <c r="B282" s="2950" t="s">
        <v>2884</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2899</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2904</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2914</v>
      </c>
      <c r="C293" s="2951">
        <v>0.15</v>
      </c>
      <c r="D293" s="2951">
        <v>0.15</v>
      </c>
      <c r="E293" s="2951">
        <v>0.15</v>
      </c>
      <c r="F293" s="2951">
        <v>0.14499999999999999</v>
      </c>
      <c r="G293" s="2952">
        <v>0.15</v>
      </c>
    </row>
    <row r="294" spans="1:7">
      <c r="A294" s="2961" t="s">
        <v>306</v>
      </c>
      <c r="B294" s="2950" t="s">
        <v>2916</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2933</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2946</v>
      </c>
      <c r="C302" s="2951">
        <v>0.15</v>
      </c>
      <c r="D302" s="2951">
        <v>0.15</v>
      </c>
      <c r="E302" s="2951">
        <v>0.15</v>
      </c>
      <c r="F302" s="2951">
        <v>0.14699999999999999</v>
      </c>
      <c r="G302" s="2952">
        <v>0.15</v>
      </c>
    </row>
    <row r="303" spans="1:7">
      <c r="A303" s="2961" t="s">
        <v>306</v>
      </c>
      <c r="B303" s="2950" t="s">
        <v>2953</v>
      </c>
      <c r="C303" s="2951">
        <v>0.15</v>
      </c>
      <c r="D303" s="2951">
        <v>0.15</v>
      </c>
      <c r="E303" s="2951">
        <v>0.15</v>
      </c>
      <c r="F303" s="2951">
        <v>0.14199999999999999</v>
      </c>
      <c r="G303" s="2952">
        <v>0.15</v>
      </c>
    </row>
    <row r="304" spans="1:7">
      <c r="A304" s="2961" t="s">
        <v>306</v>
      </c>
      <c r="B304" s="2950" t="s">
        <v>2960</v>
      </c>
      <c r="C304" s="2951">
        <v>0.15</v>
      </c>
      <c r="D304" s="2951">
        <v>0.15</v>
      </c>
      <c r="E304" s="2951">
        <v>0.15</v>
      </c>
      <c r="F304" s="2951">
        <v>0.14499999999999999</v>
      </c>
      <c r="G304" s="2952">
        <v>0.15</v>
      </c>
    </row>
    <row r="305" spans="1:7">
      <c r="A305" s="2961" t="s">
        <v>306</v>
      </c>
      <c r="B305" s="2950" t="s">
        <v>2966</v>
      </c>
      <c r="C305" s="2951">
        <v>0.15</v>
      </c>
      <c r="D305" s="2951">
        <v>0.15</v>
      </c>
      <c r="E305" s="2951">
        <v>0.15</v>
      </c>
      <c r="F305" s="2951">
        <v>0.111</v>
      </c>
      <c r="G305" s="2952">
        <v>0.15</v>
      </c>
    </row>
    <row r="306" spans="1:7">
      <c r="A306" s="2961" t="s">
        <v>306</v>
      </c>
      <c r="B306" s="2950" t="s">
        <v>2973</v>
      </c>
      <c r="C306" s="2951">
        <v>0.15</v>
      </c>
      <c r="D306" s="2951">
        <v>0.15</v>
      </c>
      <c r="E306" s="2951">
        <v>0.15</v>
      </c>
      <c r="F306" s="2951">
        <v>0.126</v>
      </c>
      <c r="G306" s="2952">
        <v>0.15</v>
      </c>
    </row>
    <row r="307" spans="1:7">
      <c r="A307" s="2961" t="s">
        <v>306</v>
      </c>
      <c r="B307" s="2950" t="s">
        <v>2978</v>
      </c>
      <c r="C307" s="2951">
        <v>0.15</v>
      </c>
      <c r="D307" s="2951">
        <v>0.15</v>
      </c>
      <c r="E307" s="2951">
        <v>0.15</v>
      </c>
      <c r="F307" s="2951">
        <v>0.12</v>
      </c>
      <c r="G307" s="2952">
        <v>0.15</v>
      </c>
    </row>
    <row r="308" spans="1:7">
      <c r="A308" s="2961" t="s">
        <v>306</v>
      </c>
      <c r="B308" s="2950" t="s">
        <v>2984</v>
      </c>
      <c r="C308" s="2951">
        <v>0.15</v>
      </c>
      <c r="D308" s="2951">
        <v>0.15</v>
      </c>
      <c r="E308" s="2951">
        <v>0.15</v>
      </c>
      <c r="F308" s="2951">
        <v>0.13</v>
      </c>
      <c r="G308" s="2952">
        <v>0.15</v>
      </c>
    </row>
    <row r="309" spans="1:7">
      <c r="A309" s="2961" t="s">
        <v>306</v>
      </c>
      <c r="B309" s="2950" t="s">
        <v>2988</v>
      </c>
      <c r="C309" s="2951">
        <v>0.15</v>
      </c>
      <c r="D309" s="2951">
        <v>0.15</v>
      </c>
      <c r="E309" s="2951">
        <v>0.15</v>
      </c>
      <c r="F309" s="2951">
        <v>0.14099999999999999</v>
      </c>
      <c r="G309" s="2952">
        <v>0.15</v>
      </c>
    </row>
    <row r="310" spans="1:7">
      <c r="A310" s="2961" t="s">
        <v>306</v>
      </c>
      <c r="B310" s="2950" t="s">
        <v>2993</v>
      </c>
      <c r="C310" s="2951">
        <v>0.15</v>
      </c>
      <c r="D310" s="2951">
        <v>0.15</v>
      </c>
      <c r="E310" s="2951">
        <v>0.15</v>
      </c>
      <c r="F310" s="2951">
        <v>0.15</v>
      </c>
      <c r="G310" s="2952">
        <v>0.15</v>
      </c>
    </row>
    <row r="311" spans="1:7">
      <c r="A311" s="2961" t="s">
        <v>306</v>
      </c>
      <c r="B311" s="2950" t="s">
        <v>2998</v>
      </c>
      <c r="C311" s="2951">
        <v>0.13200000000000001</v>
      </c>
      <c r="D311" s="2951">
        <v>0.13300000000000001</v>
      </c>
      <c r="E311" s="2951">
        <v>0.14499999999999999</v>
      </c>
      <c r="F311" s="2951">
        <v>0.14199999999999999</v>
      </c>
      <c r="G311" s="2952">
        <v>0.14000000000000001</v>
      </c>
    </row>
    <row r="312" spans="1:7">
      <c r="A312" s="2961" t="s">
        <v>306</v>
      </c>
      <c r="B312" s="2950" t="s">
        <v>3003</v>
      </c>
      <c r="C312" s="2951">
        <v>0.13800000000000001</v>
      </c>
      <c r="D312" s="2951">
        <v>0.14000000000000001</v>
      </c>
      <c r="E312" s="2951">
        <v>0.14599999999999999</v>
      </c>
      <c r="F312" s="2951">
        <v>0.14899999999999999</v>
      </c>
      <c r="G312" s="2952">
        <v>0.14199999999999999</v>
      </c>
    </row>
    <row r="313" spans="1:7">
      <c r="A313" s="2961" t="s">
        <v>306</v>
      </c>
      <c r="B313" s="2950" t="s">
        <v>3008</v>
      </c>
      <c r="C313" s="2951">
        <v>0.125</v>
      </c>
      <c r="D313" s="2951">
        <v>0.127</v>
      </c>
      <c r="E313" s="2951">
        <v>0.14399999999999999</v>
      </c>
      <c r="F313" s="2951">
        <v>0.115</v>
      </c>
      <c r="G313" s="2952">
        <v>0.13600000000000001</v>
      </c>
    </row>
    <row r="314" spans="1:7">
      <c r="A314" s="2961" t="s">
        <v>306</v>
      </c>
      <c r="B314" s="2950" t="s">
        <v>3217</v>
      </c>
      <c r="C314" s="2967"/>
      <c r="D314" s="2967"/>
      <c r="E314" s="2967"/>
      <c r="F314" s="2951">
        <v>0.05</v>
      </c>
      <c r="G314" s="2968"/>
    </row>
    <row r="315" spans="1:7">
      <c r="A315" s="2961" t="s">
        <v>306</v>
      </c>
      <c r="B315" s="2950" t="s">
        <v>3218</v>
      </c>
      <c r="C315" s="2967"/>
      <c r="D315" s="2967"/>
      <c r="E315" s="2967"/>
      <c r="F315" s="2951">
        <v>0.05</v>
      </c>
      <c r="G315" s="2968"/>
    </row>
    <row r="316" spans="1:7">
      <c r="A316" s="2961" t="s">
        <v>306</v>
      </c>
      <c r="B316" s="2950" t="s">
        <v>3219</v>
      </c>
      <c r="C316" s="2962"/>
      <c r="D316" s="2962"/>
      <c r="E316" s="2962"/>
      <c r="F316" s="2951">
        <v>0.05</v>
      </c>
      <c r="G316" s="2968"/>
    </row>
    <row r="317" spans="1:7">
      <c r="A317" s="2961" t="s">
        <v>306</v>
      </c>
      <c r="B317" s="2950" t="s">
        <v>3220</v>
      </c>
      <c r="C317" s="2962"/>
      <c r="D317" s="2962"/>
      <c r="E317" s="2962"/>
      <c r="F317" s="2951">
        <v>0.05</v>
      </c>
      <c r="G317" s="2968"/>
    </row>
    <row r="318" spans="1:7">
      <c r="A318" s="2961" t="s">
        <v>306</v>
      </c>
      <c r="B318" s="2950" t="s">
        <v>3221</v>
      </c>
      <c r="C318" s="2962"/>
      <c r="D318" s="2962"/>
      <c r="E318" s="2962"/>
      <c r="F318" s="2951">
        <v>0.05</v>
      </c>
      <c r="G318" s="2968"/>
    </row>
    <row r="319" spans="1:7">
      <c r="A319" s="2961" t="s">
        <v>306</v>
      </c>
      <c r="B319" s="2950" t="s">
        <v>3222</v>
      </c>
      <c r="C319" s="2962"/>
      <c r="D319" s="2962"/>
      <c r="E319" s="2962"/>
      <c r="F319" s="2951">
        <v>0.05</v>
      </c>
      <c r="G319" s="2968"/>
    </row>
    <row r="320" spans="1:7">
      <c r="A320" s="2961" t="s">
        <v>306</v>
      </c>
      <c r="B320" s="2950" t="s">
        <v>3223</v>
      </c>
      <c r="C320" s="2962"/>
      <c r="D320" s="2962"/>
      <c r="E320" s="2962"/>
      <c r="F320" s="2951">
        <v>0.05</v>
      </c>
      <c r="G320" s="2968"/>
    </row>
    <row r="321" spans="1:7">
      <c r="A321" s="2961" t="s">
        <v>306</v>
      </c>
      <c r="B321" s="2950" t="s">
        <v>3224</v>
      </c>
      <c r="C321" s="2962"/>
      <c r="D321" s="2962"/>
      <c r="E321" s="2962"/>
      <c r="F321" s="2951">
        <v>0.05</v>
      </c>
      <c r="G321" s="2968"/>
    </row>
    <row r="322" spans="1:7">
      <c r="A322" s="2961" t="s">
        <v>306</v>
      </c>
      <c r="B322" s="2950" t="s">
        <v>3225</v>
      </c>
      <c r="C322" s="2962"/>
      <c r="D322" s="2962"/>
      <c r="E322" s="2962"/>
      <c r="F322" s="2951">
        <v>0.05</v>
      </c>
      <c r="G322" s="2968"/>
    </row>
    <row r="323" spans="1:7">
      <c r="A323" s="2961" t="s">
        <v>306</v>
      </c>
      <c r="B323" s="2950" t="s">
        <v>3226</v>
      </c>
      <c r="C323" s="2962"/>
      <c r="D323" s="2962"/>
      <c r="E323" s="2962"/>
      <c r="F323" s="2951">
        <v>0.05</v>
      </c>
      <c r="G323" s="2968"/>
    </row>
    <row r="324" spans="1:7">
      <c r="A324" s="2961" t="s">
        <v>306</v>
      </c>
      <c r="B324" s="2950" t="s">
        <v>3227</v>
      </c>
      <c r="C324" s="2962"/>
      <c r="D324" s="2962"/>
      <c r="E324" s="2962"/>
      <c r="F324" s="2951">
        <v>0.05</v>
      </c>
      <c r="G324" s="2968"/>
    </row>
    <row r="325" spans="1:7">
      <c r="A325" s="2961" t="s">
        <v>306</v>
      </c>
      <c r="B325" s="2950" t="s">
        <v>3228</v>
      </c>
      <c r="C325" s="2962"/>
      <c r="D325" s="2962"/>
      <c r="E325" s="2962"/>
      <c r="F325" s="2951">
        <v>0.05</v>
      </c>
      <c r="G325" s="2968"/>
    </row>
    <row r="326" spans="1:7" ht="14.25" thickBot="1">
      <c r="A326" s="2964" t="s">
        <v>306</v>
      </c>
      <c r="B326" s="2954" t="s">
        <v>3229</v>
      </c>
      <c r="C326" s="2956"/>
      <c r="D326" s="2956"/>
      <c r="E326" s="2956"/>
      <c r="F326" s="2955">
        <v>0.05</v>
      </c>
      <c r="G326" s="2969"/>
    </row>
    <row r="327" spans="1:7">
      <c r="A327" s="2960" t="s">
        <v>307</v>
      </c>
      <c r="B327" s="2946" t="s">
        <v>2861</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2873</v>
      </c>
      <c r="C329" s="2951">
        <v>0.15</v>
      </c>
      <c r="D329" s="2951">
        <v>0.15</v>
      </c>
      <c r="E329" s="2951">
        <v>0.15</v>
      </c>
      <c r="F329" s="2951">
        <v>0.15</v>
      </c>
      <c r="G329" s="2952">
        <v>0.15</v>
      </c>
    </row>
    <row r="330" spans="1:7">
      <c r="A330" s="2961" t="s">
        <v>307</v>
      </c>
      <c r="B330" s="2950" t="s">
        <v>2877</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2885</v>
      </c>
      <c r="C332" s="2951">
        <v>0.15</v>
      </c>
      <c r="D332" s="2951">
        <v>0.15</v>
      </c>
      <c r="E332" s="2951">
        <v>0.15</v>
      </c>
      <c r="F332" s="2951">
        <v>0.15</v>
      </c>
      <c r="G332" s="2952">
        <v>0.15</v>
      </c>
    </row>
    <row r="333" spans="1:7">
      <c r="A333" s="2961" t="s">
        <v>307</v>
      </c>
      <c r="B333" s="2950" t="s">
        <v>2889</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2895</v>
      </c>
      <c r="C336" s="2951">
        <v>0.15</v>
      </c>
      <c r="D336" s="2951">
        <v>0.15</v>
      </c>
      <c r="E336" s="2951">
        <v>0.15</v>
      </c>
      <c r="F336" s="2951">
        <v>0.14199999999999999</v>
      </c>
      <c r="G336" s="2952">
        <v>0.15</v>
      </c>
    </row>
    <row r="337" spans="1:7">
      <c r="A337" s="2961" t="s">
        <v>307</v>
      </c>
      <c r="B337" s="2950" t="s">
        <v>2900</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2907</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2912</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2920</v>
      </c>
      <c r="C345" s="2951">
        <v>0.15</v>
      </c>
      <c r="D345" s="2951">
        <v>0.15</v>
      </c>
      <c r="E345" s="2951">
        <v>0.15</v>
      </c>
      <c r="F345" s="2951">
        <v>0.13800000000000001</v>
      </c>
      <c r="G345" s="2952">
        <v>0.15</v>
      </c>
    </row>
    <row r="346" spans="1:7">
      <c r="A346" s="2961" t="s">
        <v>307</v>
      </c>
      <c r="B346" s="2950" t="s">
        <v>2922</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2929</v>
      </c>
      <c r="C348" s="2951">
        <v>0.15</v>
      </c>
      <c r="D348" s="2951">
        <v>0.15</v>
      </c>
      <c r="E348" s="2951">
        <v>0.15</v>
      </c>
      <c r="F348" s="2951">
        <v>0.14399999999999999</v>
      </c>
      <c r="G348" s="2952">
        <v>0.15</v>
      </c>
    </row>
    <row r="349" spans="1:7">
      <c r="A349" s="2961" t="s">
        <v>307</v>
      </c>
      <c r="B349" s="2950" t="s">
        <v>2934</v>
      </c>
      <c r="C349" s="2951">
        <v>0.15</v>
      </c>
      <c r="D349" s="2951">
        <v>0.15</v>
      </c>
      <c r="E349" s="2951">
        <v>0.15</v>
      </c>
      <c r="F349" s="2951">
        <v>0.15</v>
      </c>
      <c r="G349" s="2952">
        <v>0.15</v>
      </c>
    </row>
    <row r="350" spans="1:7">
      <c r="A350" s="2961" t="s">
        <v>307</v>
      </c>
      <c r="B350" s="2950" t="s">
        <v>2937</v>
      </c>
      <c r="C350" s="2951">
        <v>0.15</v>
      </c>
      <c r="D350" s="2951">
        <v>0.15</v>
      </c>
      <c r="E350" s="2951">
        <v>0.15</v>
      </c>
      <c r="F350" s="2951">
        <v>0.14699999999999999</v>
      </c>
      <c r="G350" s="2952">
        <v>0.15</v>
      </c>
    </row>
    <row r="351" spans="1:7">
      <c r="A351" s="2961" t="s">
        <v>307</v>
      </c>
      <c r="B351" s="2950" t="s">
        <v>2942</v>
      </c>
      <c r="C351" s="2951">
        <v>0.15</v>
      </c>
      <c r="D351" s="2951">
        <v>0.15</v>
      </c>
      <c r="E351" s="2951">
        <v>0.15</v>
      </c>
      <c r="F351" s="2951">
        <v>0.13</v>
      </c>
      <c r="G351" s="2952">
        <v>0.15</v>
      </c>
    </row>
    <row r="352" spans="1:7">
      <c r="A352" s="2961" t="s">
        <v>307</v>
      </c>
      <c r="B352" s="2950" t="s">
        <v>2947</v>
      </c>
      <c r="C352" s="2951">
        <v>0.15</v>
      </c>
      <c r="D352" s="2951">
        <v>0.15</v>
      </c>
      <c r="E352" s="2951">
        <v>0.15</v>
      </c>
      <c r="F352" s="2951">
        <v>0.14599999999999999</v>
      </c>
      <c r="G352" s="2952">
        <v>0.15</v>
      </c>
    </row>
    <row r="353" spans="1:7">
      <c r="A353" s="2961" t="s">
        <v>307</v>
      </c>
      <c r="B353" s="2950" t="s">
        <v>2954</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2967</v>
      </c>
      <c r="C355" s="2951">
        <v>0.15</v>
      </c>
      <c r="D355" s="2951">
        <v>0.15</v>
      </c>
      <c r="E355" s="2951">
        <v>0.15</v>
      </c>
      <c r="F355" s="2951">
        <v>0.15</v>
      </c>
      <c r="G355" s="2952">
        <v>0.15</v>
      </c>
    </row>
    <row r="356" spans="1:7">
      <c r="A356" s="2961" t="s">
        <v>307</v>
      </c>
      <c r="B356" s="2950" t="s">
        <v>2974</v>
      </c>
      <c r="C356" s="2951">
        <v>0.15</v>
      </c>
      <c r="D356" s="2951">
        <v>0.15</v>
      </c>
      <c r="E356" s="2951">
        <v>0.15</v>
      </c>
      <c r="F356" s="2951">
        <v>0.15</v>
      </c>
      <c r="G356" s="2952">
        <v>0.15</v>
      </c>
    </row>
    <row r="357" spans="1:7" ht="14.25" thickBot="1">
      <c r="A357" s="2964" t="s">
        <v>307</v>
      </c>
      <c r="B357" s="2954" t="s">
        <v>2979</v>
      </c>
      <c r="C357" s="2955">
        <v>0.126</v>
      </c>
      <c r="D357" s="2955">
        <v>0.127</v>
      </c>
      <c r="E357" s="2955">
        <v>0.14299999999999999</v>
      </c>
      <c r="F357" s="2955">
        <v>0.125</v>
      </c>
      <c r="G357" s="2957">
        <v>0.129</v>
      </c>
    </row>
    <row r="358" spans="1:7">
      <c r="A358" s="2960" t="s">
        <v>2848</v>
      </c>
      <c r="B358" s="2946" t="s">
        <v>2862</v>
      </c>
      <c r="C358" s="2947">
        <v>0.15</v>
      </c>
      <c r="D358" s="2947">
        <v>0.15</v>
      </c>
      <c r="E358" s="2947">
        <v>0.15</v>
      </c>
      <c r="F358" s="2947">
        <v>0.15</v>
      </c>
      <c r="G358" s="2948">
        <v>0.15</v>
      </c>
    </row>
    <row r="359" spans="1:7">
      <c r="A359" s="2961" t="s">
        <v>2848</v>
      </c>
      <c r="B359" s="2950" t="s">
        <v>2868</v>
      </c>
      <c r="C359" s="2951">
        <v>0.1</v>
      </c>
      <c r="D359" s="2951">
        <v>0.1</v>
      </c>
      <c r="E359" s="2951">
        <v>0.1</v>
      </c>
      <c r="F359" s="2951">
        <v>0.1</v>
      </c>
      <c r="G359" s="2952">
        <v>0.1</v>
      </c>
    </row>
    <row r="360" spans="1:7">
      <c r="A360" s="2961" t="s">
        <v>2848</v>
      </c>
      <c r="B360" s="2950" t="s">
        <v>2874</v>
      </c>
      <c r="C360" s="2951">
        <v>0.15</v>
      </c>
      <c r="D360" s="2951">
        <v>0.15</v>
      </c>
      <c r="E360" s="2951">
        <v>0.15</v>
      </c>
      <c r="F360" s="2951">
        <v>0.14899999999999999</v>
      </c>
      <c r="G360" s="2952">
        <v>0.15</v>
      </c>
    </row>
    <row r="361" spans="1:7">
      <c r="A361" s="2961" t="s">
        <v>2848</v>
      </c>
      <c r="B361" s="2950" t="s">
        <v>153</v>
      </c>
      <c r="C361" s="2951">
        <v>0.15</v>
      </c>
      <c r="D361" s="2951">
        <v>0.15</v>
      </c>
      <c r="E361" s="2951">
        <v>0.15</v>
      </c>
      <c r="F361" s="2951">
        <v>0.115</v>
      </c>
      <c r="G361" s="2952">
        <v>0.15</v>
      </c>
    </row>
    <row r="362" spans="1:7">
      <c r="A362" s="2961" t="s">
        <v>2848</v>
      </c>
      <c r="B362" s="2950" t="s">
        <v>2881</v>
      </c>
      <c r="C362" s="2951">
        <v>0.15</v>
      </c>
      <c r="D362" s="2951">
        <v>0.15</v>
      </c>
      <c r="E362" s="2951">
        <v>0.15</v>
      </c>
      <c r="F362" s="2951">
        <v>0.106</v>
      </c>
      <c r="G362" s="2952">
        <v>0.15</v>
      </c>
    </row>
    <row r="363" spans="1:7">
      <c r="A363" s="2961" t="s">
        <v>2848</v>
      </c>
      <c r="B363" s="2950" t="s">
        <v>2886</v>
      </c>
      <c r="C363" s="2951">
        <v>0.15</v>
      </c>
      <c r="D363" s="2951">
        <v>0.15</v>
      </c>
      <c r="E363" s="2951">
        <v>0.15</v>
      </c>
      <c r="F363" s="2951">
        <v>0.14699999999999999</v>
      </c>
      <c r="G363" s="2952">
        <v>0.15</v>
      </c>
    </row>
    <row r="364" spans="1:7">
      <c r="A364" s="2961" t="s">
        <v>2848</v>
      </c>
      <c r="B364" s="2950" t="s">
        <v>2890</v>
      </c>
      <c r="C364" s="2951">
        <v>0.15</v>
      </c>
      <c r="D364" s="2951">
        <v>0.15</v>
      </c>
      <c r="E364" s="2951">
        <v>0.15</v>
      </c>
      <c r="F364" s="2951">
        <v>0.14799999999999999</v>
      </c>
      <c r="G364" s="2952">
        <v>0.15</v>
      </c>
    </row>
    <row r="365" spans="1:7">
      <c r="A365" s="2961" t="s">
        <v>2848</v>
      </c>
      <c r="B365" s="2950" t="s">
        <v>200</v>
      </c>
      <c r="C365" s="2951">
        <v>0.15</v>
      </c>
      <c r="D365" s="2951">
        <v>0.15</v>
      </c>
      <c r="E365" s="2951">
        <v>0.15</v>
      </c>
      <c r="F365" s="2951">
        <v>0.15</v>
      </c>
      <c r="G365" s="2952">
        <v>0.15</v>
      </c>
    </row>
    <row r="366" spans="1:7">
      <c r="A366" s="2961" t="s">
        <v>2848</v>
      </c>
      <c r="B366" s="2950" t="s">
        <v>2893</v>
      </c>
      <c r="C366" s="2951">
        <v>0.15</v>
      </c>
      <c r="D366" s="2951">
        <v>0.15</v>
      </c>
      <c r="E366" s="2951">
        <v>0.15</v>
      </c>
      <c r="F366" s="2951">
        <v>0.15</v>
      </c>
      <c r="G366" s="2952">
        <v>0.15</v>
      </c>
    </row>
    <row r="367" spans="1:7">
      <c r="A367" s="2961" t="s">
        <v>2848</v>
      </c>
      <c r="B367" s="2950" t="s">
        <v>2896</v>
      </c>
      <c r="C367" s="2951">
        <v>0.15</v>
      </c>
      <c r="D367" s="2951">
        <v>0.15</v>
      </c>
      <c r="E367" s="2951">
        <v>0.15</v>
      </c>
      <c r="F367" s="2951">
        <v>0.14699999999999999</v>
      </c>
      <c r="G367" s="2952">
        <v>0.15</v>
      </c>
    </row>
    <row r="368" spans="1:7">
      <c r="A368" s="2961" t="s">
        <v>2848</v>
      </c>
      <c r="B368" s="2950" t="s">
        <v>2901</v>
      </c>
      <c r="C368" s="2951">
        <v>0.15</v>
      </c>
      <c r="D368" s="2951">
        <v>0.15</v>
      </c>
      <c r="E368" s="2951">
        <v>0.15</v>
      </c>
      <c r="F368" s="2951">
        <v>0.13600000000000001</v>
      </c>
      <c r="G368" s="2952">
        <v>0.15</v>
      </c>
    </row>
    <row r="369" spans="1:7">
      <c r="A369" s="2961" t="s">
        <v>2848</v>
      </c>
      <c r="B369" s="2950" t="s">
        <v>214</v>
      </c>
      <c r="C369" s="2951">
        <v>0.15</v>
      </c>
      <c r="D369" s="2951">
        <v>0.15</v>
      </c>
      <c r="E369" s="2951">
        <v>0.15</v>
      </c>
      <c r="F369" s="2951">
        <v>0.14399999999999999</v>
      </c>
      <c r="G369" s="2952">
        <v>0.15</v>
      </c>
    </row>
    <row r="370" spans="1:7">
      <c r="A370" s="2961" t="s">
        <v>2848</v>
      </c>
      <c r="B370" s="2950" t="s">
        <v>221</v>
      </c>
      <c r="C370" s="2951">
        <v>0.15</v>
      </c>
      <c r="D370" s="2951">
        <v>0.15</v>
      </c>
      <c r="E370" s="2951">
        <v>0.15</v>
      </c>
      <c r="F370" s="2951">
        <v>0.14599999999999999</v>
      </c>
      <c r="G370" s="2952">
        <v>0.15</v>
      </c>
    </row>
    <row r="371" spans="1:7">
      <c r="A371" s="2961" t="s">
        <v>2848</v>
      </c>
      <c r="B371" s="2950" t="s">
        <v>229</v>
      </c>
      <c r="C371" s="2951">
        <v>0.15</v>
      </c>
      <c r="D371" s="2951">
        <v>0.15</v>
      </c>
      <c r="E371" s="2951">
        <v>0.15</v>
      </c>
      <c r="F371" s="2951">
        <v>0.12</v>
      </c>
      <c r="G371" s="2952">
        <v>0.15</v>
      </c>
    </row>
    <row r="372" spans="1:7">
      <c r="A372" s="2961" t="s">
        <v>2848</v>
      </c>
      <c r="B372" s="2950" t="s">
        <v>2909</v>
      </c>
      <c r="C372" s="2951">
        <v>0.15</v>
      </c>
      <c r="D372" s="2951">
        <v>0.15</v>
      </c>
      <c r="E372" s="2951">
        <v>0.15</v>
      </c>
      <c r="F372" s="2951">
        <v>0.14299999999999999</v>
      </c>
      <c r="G372" s="2952">
        <v>0.15</v>
      </c>
    </row>
    <row r="373" spans="1:7">
      <c r="A373" s="2961" t="s">
        <v>2848</v>
      </c>
      <c r="B373" s="2950" t="s">
        <v>258</v>
      </c>
      <c r="C373" s="2951">
        <v>0.15</v>
      </c>
      <c r="D373" s="2951">
        <v>0.15</v>
      </c>
      <c r="E373" s="2951">
        <v>0.15</v>
      </c>
      <c r="F373" s="2951">
        <v>0.14599999999999999</v>
      </c>
      <c r="G373" s="2952">
        <v>0.15</v>
      </c>
    </row>
    <row r="374" spans="1:7">
      <c r="A374" s="2961" t="s">
        <v>2848</v>
      </c>
      <c r="B374" s="2950" t="s">
        <v>266</v>
      </c>
      <c r="C374" s="2951">
        <v>0.15</v>
      </c>
      <c r="D374" s="2951">
        <v>0.15</v>
      </c>
      <c r="E374" s="2951">
        <v>0.15</v>
      </c>
      <c r="F374" s="2951">
        <v>0.14399999999999999</v>
      </c>
      <c r="G374" s="2952">
        <v>0.15</v>
      </c>
    </row>
    <row r="375" spans="1:7">
      <c r="A375" s="2961" t="s">
        <v>2848</v>
      </c>
      <c r="B375" s="2950" t="s">
        <v>2917</v>
      </c>
      <c r="C375" s="2951">
        <v>0.15</v>
      </c>
      <c r="D375" s="2951">
        <v>0.15</v>
      </c>
      <c r="E375" s="2951">
        <v>0.15</v>
      </c>
      <c r="F375" s="2951">
        <v>0.13</v>
      </c>
      <c r="G375" s="2952">
        <v>0.15</v>
      </c>
    </row>
    <row r="376" spans="1:7">
      <c r="A376" s="2961" t="s">
        <v>2848</v>
      </c>
      <c r="B376" s="2950" t="s">
        <v>277</v>
      </c>
      <c r="C376" s="2951">
        <v>0.15</v>
      </c>
      <c r="D376" s="2951">
        <v>0.15</v>
      </c>
      <c r="E376" s="2951">
        <v>0.15</v>
      </c>
      <c r="F376" s="2951">
        <v>0.14199999999999999</v>
      </c>
      <c r="G376" s="2952">
        <v>0.15</v>
      </c>
    </row>
    <row r="377" spans="1:7" ht="14.25" thickBot="1">
      <c r="A377" s="2964" t="s">
        <v>2848</v>
      </c>
      <c r="B377" s="2954" t="s">
        <v>2923</v>
      </c>
      <c r="C377" s="2955">
        <v>0.15</v>
      </c>
      <c r="D377" s="2955">
        <v>0.15</v>
      </c>
      <c r="E377" s="2955">
        <v>0.15</v>
      </c>
      <c r="F377" s="2955">
        <v>0.14000000000000001</v>
      </c>
      <c r="G377" s="2957">
        <v>0.15</v>
      </c>
    </row>
    <row r="378" spans="1:7">
      <c r="A378" s="2960" t="s">
        <v>2849</v>
      </c>
      <c r="B378" s="2946" t="s">
        <v>2863</v>
      </c>
      <c r="C378" s="2947">
        <v>0.15</v>
      </c>
      <c r="D378" s="2947">
        <v>0.15</v>
      </c>
      <c r="E378" s="2947">
        <v>0.15</v>
      </c>
      <c r="F378" s="2947">
        <v>0.107</v>
      </c>
      <c r="G378" s="2948">
        <v>0.15</v>
      </c>
    </row>
    <row r="379" spans="1:7">
      <c r="A379" s="2961" t="s">
        <v>2849</v>
      </c>
      <c r="B379" s="2950" t="s">
        <v>2869</v>
      </c>
      <c r="C379" s="2951">
        <v>0.15</v>
      </c>
      <c r="D379" s="2951">
        <v>0.15</v>
      </c>
      <c r="E379" s="2951">
        <v>0.15</v>
      </c>
      <c r="F379" s="2951">
        <v>0.115</v>
      </c>
      <c r="G379" s="2952">
        <v>0.14899999999999999</v>
      </c>
    </row>
    <row r="380" spans="1:7">
      <c r="A380" s="2961" t="s">
        <v>2849</v>
      </c>
      <c r="B380" s="2950" t="s">
        <v>2875</v>
      </c>
      <c r="C380" s="2951">
        <v>0.15</v>
      </c>
      <c r="D380" s="2951">
        <v>0.15</v>
      </c>
      <c r="E380" s="2951">
        <v>0.15</v>
      </c>
      <c r="F380" s="2951">
        <v>0.1</v>
      </c>
      <c r="G380" s="2952">
        <v>0.14799999999999999</v>
      </c>
    </row>
    <row r="381" spans="1:7">
      <c r="A381" s="2961" t="s">
        <v>2849</v>
      </c>
      <c r="B381" s="2950" t="s">
        <v>2878</v>
      </c>
      <c r="C381" s="2951">
        <v>0.15</v>
      </c>
      <c r="D381" s="2951">
        <v>0.15</v>
      </c>
      <c r="E381" s="2951">
        <v>0.15</v>
      </c>
      <c r="F381" s="2951">
        <v>0.126</v>
      </c>
      <c r="G381" s="2952">
        <v>0.15</v>
      </c>
    </row>
    <row r="382" spans="1:7">
      <c r="A382" s="2961" t="s">
        <v>2849</v>
      </c>
      <c r="B382" s="2950" t="s">
        <v>2882</v>
      </c>
      <c r="C382" s="2951">
        <v>0.15</v>
      </c>
      <c r="D382" s="2951">
        <v>0.15</v>
      </c>
      <c r="E382" s="2951">
        <v>0.15</v>
      </c>
      <c r="F382" s="2951">
        <v>0.15</v>
      </c>
      <c r="G382" s="2952">
        <v>0.15</v>
      </c>
    </row>
    <row r="383" spans="1:7">
      <c r="A383" s="2961" t="s">
        <v>2849</v>
      </c>
      <c r="B383" s="2950" t="s">
        <v>2887</v>
      </c>
      <c r="C383" s="2951">
        <v>0.15</v>
      </c>
      <c r="D383" s="2951">
        <v>0.15</v>
      </c>
      <c r="E383" s="2951">
        <v>0.15</v>
      </c>
      <c r="F383" s="2951">
        <v>0.14699999999999999</v>
      </c>
      <c r="G383" s="2952">
        <v>0.15</v>
      </c>
    </row>
    <row r="384" spans="1:7" ht="14.25" thickBot="1">
      <c r="A384" s="2971" t="s">
        <v>2849</v>
      </c>
      <c r="B384" s="2972" t="s">
        <v>2891</v>
      </c>
      <c r="C384" s="2973">
        <v>0.15</v>
      </c>
      <c r="D384" s="2973">
        <v>0.15</v>
      </c>
      <c r="E384" s="2973">
        <v>0.15</v>
      </c>
      <c r="F384" s="2973">
        <v>0.15</v>
      </c>
      <c r="G384" s="297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786"/>
  </cols>
  <sheetData>
    <row r="1" spans="1:6">
      <c r="A1" s="3465" t="s">
        <v>3230</v>
      </c>
      <c r="B1" s="3465"/>
      <c r="C1" s="3465"/>
      <c r="D1" s="3465"/>
      <c r="E1" s="3465"/>
      <c r="F1" s="3466"/>
    </row>
    <row r="2" spans="1:6">
      <c r="A2" s="2975" t="s">
        <v>3231</v>
      </c>
    </row>
    <row r="3" spans="1:6">
      <c r="A3" s="2975" t="s">
        <v>3232</v>
      </c>
      <c r="F3" s="2976" t="s">
        <v>3233</v>
      </c>
    </row>
    <row r="4" spans="1:6">
      <c r="A4" s="2977" t="s">
        <v>672</v>
      </c>
      <c r="B4" s="2977" t="s">
        <v>673</v>
      </c>
      <c r="C4" s="2977" t="s">
        <v>21</v>
      </c>
      <c r="D4" s="2977" t="s">
        <v>674</v>
      </c>
      <c r="E4" s="2977" t="s">
        <v>3</v>
      </c>
      <c r="F4" s="2977" t="s">
        <v>3234</v>
      </c>
    </row>
    <row r="5" spans="1:6">
      <c r="A5" s="2978" t="s">
        <v>675</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topLeftCell="A7" zoomScale="90" zoomScaleNormal="90" workbookViewId="0">
      <selection activeCell="H7" sqref="H7"/>
    </sheetView>
  </sheetViews>
  <sheetFormatPr defaultRowHeight="13.5"/>
  <cols>
    <col min="1" max="1" width="13.875" customWidth="1"/>
    <col min="11" max="17" width="0" hidden="1" customWidth="1"/>
    <col min="25" max="30" width="0" hidden="1" customWidth="1"/>
  </cols>
  <sheetData>
    <row r="1" spans="1:30">
      <c r="A1" s="2910">
        <f>基准地价修正!G23</f>
        <v>45695</v>
      </c>
      <c r="B1" s="2902" t="s">
        <v>3378</v>
      </c>
      <c r="C1" s="2903"/>
      <c r="D1" s="2903"/>
      <c r="E1" s="2903"/>
      <c r="F1" s="2903"/>
      <c r="G1" s="2903"/>
      <c r="H1" s="2903"/>
      <c r="I1" s="2903"/>
      <c r="J1" s="2869"/>
      <c r="K1" s="2903" t="s">
        <v>454</v>
      </c>
      <c r="L1" s="2903"/>
      <c r="M1" s="2903"/>
      <c r="N1" s="2903"/>
      <c r="O1" s="2903"/>
      <c r="P1" s="2903"/>
      <c r="Q1" s="2869"/>
      <c r="R1" s="3467" t="s">
        <v>456</v>
      </c>
      <c r="S1" s="3468"/>
      <c r="T1" s="3468"/>
      <c r="U1" s="3468"/>
      <c r="V1" s="3468"/>
      <c r="W1" s="3468"/>
      <c r="X1" s="2869"/>
      <c r="Y1" s="3467" t="s">
        <v>457</v>
      </c>
      <c r="Z1" s="3468"/>
      <c r="AA1" s="3468"/>
      <c r="AB1" s="3468"/>
      <c r="AC1" s="3468"/>
      <c r="AD1" s="3468"/>
    </row>
    <row r="2" spans="1:30" s="1987" customFormat="1" ht="14.25" thickBot="1">
      <c r="B2" s="2854"/>
      <c r="C2" s="2855"/>
      <c r="D2" s="1988" t="s">
        <v>2808</v>
      </c>
      <c r="E2" s="1989" t="s">
        <v>2809</v>
      </c>
      <c r="F2" s="1989" t="s">
        <v>2810</v>
      </c>
      <c r="G2" s="1989" t="s">
        <v>2811</v>
      </c>
      <c r="H2" s="1989" t="s">
        <v>2812</v>
      </c>
      <c r="I2" s="1989" t="s">
        <v>2629</v>
      </c>
      <c r="J2" s="2856"/>
      <c r="K2" s="1988" t="s">
        <v>2808</v>
      </c>
      <c r="L2" s="1989" t="s">
        <v>2809</v>
      </c>
      <c r="M2" s="1989" t="s">
        <v>2810</v>
      </c>
      <c r="N2" s="1989" t="s">
        <v>2811</v>
      </c>
      <c r="O2" s="1989" t="s">
        <v>2813</v>
      </c>
      <c r="P2" s="1989" t="s">
        <v>2629</v>
      </c>
      <c r="Q2" s="2856"/>
      <c r="R2" s="1988" t="s">
        <v>2808</v>
      </c>
      <c r="S2" s="1989" t="s">
        <v>2809</v>
      </c>
      <c r="T2" s="1989" t="s">
        <v>2810</v>
      </c>
      <c r="U2" s="1989" t="s">
        <v>2814</v>
      </c>
      <c r="V2" s="1989" t="s">
        <v>2815</v>
      </c>
      <c r="W2" s="1989" t="s">
        <v>2629</v>
      </c>
      <c r="X2" s="2856"/>
      <c r="Y2" s="1988" t="s">
        <v>2808</v>
      </c>
      <c r="Z2" s="1989" t="s">
        <v>2809</v>
      </c>
      <c r="AA2" s="1989" t="s">
        <v>2810</v>
      </c>
      <c r="AB2" s="1989" t="s">
        <v>2816</v>
      </c>
      <c r="AC2" s="1989" t="s">
        <v>2815</v>
      </c>
      <c r="AD2" s="1989" t="s">
        <v>2629</v>
      </c>
    </row>
    <row r="3" spans="1:30" s="2859" customFormat="1" ht="12.75">
      <c r="A3" s="2857" t="s">
        <v>2817</v>
      </c>
      <c r="B3" s="2858"/>
      <c r="D3" s="2859">
        <f>ROUND(AVERAGEIF(D4:D21,"&lt;&gt;0"),2)</f>
        <v>0.47</v>
      </c>
      <c r="E3" s="2859">
        <f t="shared" ref="E3:H3" si="0">ROUND(AVERAGEIF(E4:E21,"&lt;&gt;0"),2)</f>
        <v>0.3</v>
      </c>
      <c r="F3" s="2859">
        <f t="shared" si="0"/>
        <v>0.04</v>
      </c>
      <c r="G3" s="2859">
        <f t="shared" si="0"/>
        <v>0.51</v>
      </c>
      <c r="H3" s="2859">
        <f t="shared" si="0"/>
        <v>0.55000000000000004</v>
      </c>
      <c r="I3" s="2859">
        <f>F3</f>
        <v>0.04</v>
      </c>
      <c r="J3" s="2860"/>
      <c r="K3" s="2861">
        <f>ROUND(AVERAGEIF(K4:K21,"&lt;&gt;0"),4)</f>
        <v>4.7000000000000002E-3</v>
      </c>
      <c r="L3" s="2862">
        <f t="shared" ref="L3:O3" si="1">ROUND(AVERAGEIF(L4:L21,"&lt;&gt;0"),4)</f>
        <v>3.0000000000000001E-3</v>
      </c>
      <c r="M3" s="2862">
        <f t="shared" si="1"/>
        <v>4.0000000000000002E-4</v>
      </c>
      <c r="N3" s="2862">
        <f t="shared" si="1"/>
        <v>5.1000000000000004E-3</v>
      </c>
      <c r="O3" s="2862">
        <f t="shared" si="1"/>
        <v>5.4999999999999997E-3</v>
      </c>
      <c r="P3" s="2862">
        <f>M3</f>
        <v>4.0000000000000002E-4</v>
      </c>
      <c r="Q3" s="2860"/>
      <c r="R3" s="2863">
        <f>ROUND(SUMPRODUCT(PRODUCT(1+K4:K21)),4)</f>
        <v>1.0723</v>
      </c>
      <c r="S3" s="2864">
        <f t="shared" ref="S3:V3" si="2">ROUND(SUMPRODUCT(PRODUCT(1+L4:L21)),4)</f>
        <v>1.0465</v>
      </c>
      <c r="T3" s="2864">
        <f t="shared" si="2"/>
        <v>1.0054000000000001</v>
      </c>
      <c r="U3" s="2864">
        <f t="shared" si="2"/>
        <v>1.0790999999999999</v>
      </c>
      <c r="V3" s="2864">
        <f t="shared" si="2"/>
        <v>1.0857000000000001</v>
      </c>
      <c r="W3" s="2863">
        <f>T3</f>
        <v>1.0054000000000001</v>
      </c>
      <c r="X3" s="2860"/>
      <c r="Y3" s="2865">
        <f>ROUND(AVERAGEIF(Y8:Y21,"&lt;&gt;0"),4)</f>
        <v>8.3999999999999995E-3</v>
      </c>
      <c r="Z3" s="2866">
        <f t="shared" ref="Z3:AC3" si="3">ROUND(AVERAGEIF(Z8:Z21,"&lt;&gt;0"),4)</f>
        <v>3.5000000000000001E-3</v>
      </c>
      <c r="AA3" s="2867">
        <f t="shared" si="3"/>
        <v>8.0000000000000004E-4</v>
      </c>
      <c r="AB3" s="2865">
        <f t="shared" si="3"/>
        <v>9.1000000000000004E-3</v>
      </c>
      <c r="AC3" s="2868">
        <f t="shared" si="3"/>
        <v>6.1000000000000004E-3</v>
      </c>
      <c r="AD3" s="2865">
        <f>AA3</f>
        <v>8.0000000000000004E-4</v>
      </c>
    </row>
    <row r="4" spans="1:30"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30" s="2022" customFormat="1" ht="12.75">
      <c r="A5" s="2017" t="s">
        <v>3374</v>
      </c>
      <c r="B5" s="2008">
        <v>2025</v>
      </c>
      <c r="C5" s="2019">
        <v>1</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M5</f>
        <v>0</v>
      </c>
      <c r="Q5" s="2879"/>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9"/>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9" customFormat="1" ht="12.75">
      <c r="A6" s="2880" t="s">
        <v>3383</v>
      </c>
      <c r="B6" s="2881">
        <v>2024</v>
      </c>
      <c r="C6" s="2882">
        <v>4</v>
      </c>
      <c r="D6" s="2883">
        <v>0</v>
      </c>
      <c r="E6" s="2883">
        <v>0</v>
      </c>
      <c r="F6" s="2883">
        <v>0</v>
      </c>
      <c r="G6" s="2883">
        <v>0</v>
      </c>
      <c r="H6" s="2884">
        <v>0</v>
      </c>
      <c r="I6" s="2885">
        <f t="shared" ref="I6" si="15">F6</f>
        <v>0</v>
      </c>
      <c r="J6" s="2886"/>
      <c r="K6" s="2887">
        <f t="shared" ref="K6" si="16">D6/100</f>
        <v>0</v>
      </c>
      <c r="L6" s="2888">
        <f t="shared" ref="L6" si="17">E6/100</f>
        <v>0</v>
      </c>
      <c r="M6" s="2888">
        <f t="shared" ref="M6" si="18">F6/100</f>
        <v>0</v>
      </c>
      <c r="N6" s="2888">
        <f t="shared" ref="N6" si="19">G6/100</f>
        <v>0</v>
      </c>
      <c r="O6" s="2888">
        <f t="shared" ref="O6" si="20">H6/100</f>
        <v>0</v>
      </c>
      <c r="P6" s="2888">
        <f>M6</f>
        <v>0</v>
      </c>
      <c r="Q6" s="2886"/>
      <c r="R6" s="2886">
        <f>ROUND(IF(项目基本情况!$B$8="出让",SUMPRODUCT(PRODUCT(1+K6:$K$21)),SUMPRODUCT(PRODUCT(1+K6:$K$20))),4)</f>
        <v>1.0620000000000001</v>
      </c>
      <c r="S6" s="2886">
        <f>ROUND(IF(项目基本情况!$B$8="出让",SUMPRODUCT(PRODUCT(1+L6:$L$21)),SUMPRODUCT(PRODUCT(1+L6:$L$20))),4)</f>
        <v>1.0448</v>
      </c>
      <c r="T6" s="2886">
        <f>ROUND(IF(项目基本情况!$B$8="出让",SUMPRODUCT(PRODUCT(1+M6:$M$21)),SUMPRODUCT(PRODUCT(1+M6:$M$20))),4)</f>
        <v>1.0079</v>
      </c>
      <c r="U6" s="2886">
        <f>ROUND(IF(项目基本情况!$B$8="出让",SUMPRODUCT(PRODUCT(1+N6:$N$21)),SUMPRODUCT(PRODUCT(1+N6:$N$20))),4)</f>
        <v>1.0672999999999999</v>
      </c>
      <c r="V6" s="2886">
        <f>ROUND(IF(项目基本情况!$B$8="出让",SUMPRODUCT(PRODUCT(1+O6:$O$21)),SUMPRODUCT(PRODUCT(1+O6:$O$20))),4)</f>
        <v>1.0818000000000001</v>
      </c>
      <c r="W6" s="2886">
        <f>T6</f>
        <v>1.0079</v>
      </c>
      <c r="X6" s="2886"/>
      <c r="Y6" s="2888">
        <f>IF(D6=0,0,ROUND(AVERAGE(D6:D19)/100,4))</f>
        <v>0</v>
      </c>
      <c r="Z6" s="2888">
        <f t="shared" ref="Z6" si="21">IF(E6=0,0,ROUND(AVERAGE(E6:E19)/100,4))</f>
        <v>0</v>
      </c>
      <c r="AA6" s="2888">
        <f t="shared" ref="AA6" si="22">IF(F6=0,0,ROUND(AVERAGE(F6:F19)/100,4))</f>
        <v>0</v>
      </c>
      <c r="AB6" s="2888">
        <f t="shared" ref="AB6" si="23">IF(G6=0,0,ROUND(AVERAGE(G6:G19)/100,4))</f>
        <v>0</v>
      </c>
      <c r="AC6" s="2888">
        <f t="shared" ref="AC6" si="24">IF(H6=0,0,ROUND(AVERAGE(H6:H19)/100,4))</f>
        <v>0</v>
      </c>
      <c r="AD6" s="2888">
        <f t="shared" ref="AD6" si="25">AA6</f>
        <v>0</v>
      </c>
    </row>
    <row r="7" spans="1:30" s="2022" customFormat="1" ht="12.75">
      <c r="A7" s="2017" t="s">
        <v>3382</v>
      </c>
      <c r="B7" s="2008">
        <v>2024</v>
      </c>
      <c r="C7" s="2019">
        <v>3</v>
      </c>
      <c r="D7" s="1984">
        <v>-1.19</v>
      </c>
      <c r="E7" s="1984">
        <v>-0.47</v>
      </c>
      <c r="F7" s="1984">
        <v>-0.28999999999999998</v>
      </c>
      <c r="G7" s="1984">
        <v>-0.74</v>
      </c>
      <c r="H7" s="1984">
        <v>-0.21</v>
      </c>
      <c r="I7" s="1985">
        <f t="shared" ref="I7" si="26">F7</f>
        <v>-0.28999999999999998</v>
      </c>
      <c r="J7" s="2879"/>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9"/>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9"/>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8" t="s">
        <v>3375</v>
      </c>
      <c r="B8" s="2008">
        <v>2024</v>
      </c>
      <c r="C8" s="2019">
        <v>2</v>
      </c>
      <c r="D8" s="1984">
        <v>-0.59</v>
      </c>
      <c r="E8" s="1984">
        <v>-0.21</v>
      </c>
      <c r="F8" s="1984">
        <v>-1.38</v>
      </c>
      <c r="G8" s="1984">
        <v>-1.24</v>
      </c>
      <c r="H8" s="2890">
        <v>0.34</v>
      </c>
      <c r="I8" s="1985">
        <f t="shared" ref="I8:I21" si="37">F8</f>
        <v>-1.38</v>
      </c>
      <c r="J8" s="2879"/>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9"/>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9"/>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8" t="s">
        <v>3373</v>
      </c>
      <c r="B9" s="2008">
        <v>2024</v>
      </c>
      <c r="C9" s="2019">
        <v>1</v>
      </c>
      <c r="D9" s="1984">
        <v>0.08</v>
      </c>
      <c r="E9" s="1984">
        <v>0.46</v>
      </c>
      <c r="F9" s="1984">
        <v>-0.16</v>
      </c>
      <c r="G9" s="1984">
        <v>0.26</v>
      </c>
      <c r="H9" s="2890">
        <v>0.59</v>
      </c>
      <c r="I9" s="1985">
        <v>0</v>
      </c>
      <c r="J9" s="2879"/>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9"/>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9"/>
      <c r="Y9" s="2005"/>
      <c r="Z9" s="2005"/>
      <c r="AA9" s="2005"/>
      <c r="AB9" s="2005"/>
      <c r="AC9" s="2005"/>
      <c r="AD9" s="2005"/>
    </row>
    <row r="10" spans="1:30" s="2022" customFormat="1" ht="12.75">
      <c r="A10" s="2878" t="s">
        <v>3369</v>
      </c>
      <c r="B10" s="2008">
        <v>2023</v>
      </c>
      <c r="C10" s="2019">
        <v>4</v>
      </c>
      <c r="D10" s="1984">
        <v>0.19</v>
      </c>
      <c r="E10" s="1984">
        <v>0.24</v>
      </c>
      <c r="F10" s="1984">
        <v>-0.16</v>
      </c>
      <c r="G10" s="1984">
        <v>0.17</v>
      </c>
      <c r="H10" s="2890">
        <v>0.61</v>
      </c>
      <c r="I10" s="1985">
        <f>F10</f>
        <v>-0.16</v>
      </c>
      <c r="J10" s="2879"/>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9"/>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9"/>
      <c r="Y10" s="2005"/>
      <c r="Z10" s="2005"/>
      <c r="AA10" s="2005"/>
      <c r="AB10" s="2005"/>
      <c r="AC10" s="2005"/>
      <c r="AD10" s="2005"/>
    </row>
    <row r="11" spans="1:30" s="2022" customFormat="1" ht="12.75">
      <c r="A11" s="2878" t="s">
        <v>3368</v>
      </c>
      <c r="B11" s="2008">
        <v>2023</v>
      </c>
      <c r="C11" s="2019">
        <v>3</v>
      </c>
      <c r="D11" s="1984">
        <v>0.25</v>
      </c>
      <c r="E11" s="1984">
        <v>0.5</v>
      </c>
      <c r="F11" s="1984">
        <v>0.31</v>
      </c>
      <c r="G11" s="1984">
        <v>0.21</v>
      </c>
      <c r="H11" s="2890">
        <v>0.43</v>
      </c>
      <c r="I11" s="1985">
        <f t="shared" si="37"/>
        <v>0.31</v>
      </c>
      <c r="J11" s="2879"/>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9"/>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9"/>
      <c r="Y11" s="2005"/>
      <c r="Z11" s="2005"/>
      <c r="AA11" s="2005"/>
      <c r="AB11" s="2005"/>
      <c r="AC11" s="2005"/>
      <c r="AD11" s="2005"/>
    </row>
    <row r="12" spans="1:30" s="2022" customFormat="1" ht="12.75">
      <c r="A12" s="2878" t="s">
        <v>3366</v>
      </c>
      <c r="B12" s="2008">
        <v>2023</v>
      </c>
      <c r="C12" s="2019">
        <v>2</v>
      </c>
      <c r="D12" s="1984">
        <v>0.91</v>
      </c>
      <c r="E12" s="1984">
        <v>0.66</v>
      </c>
      <c r="F12" s="1984">
        <v>0.47</v>
      </c>
      <c r="G12" s="1984">
        <v>0.96</v>
      </c>
      <c r="H12" s="2890">
        <v>0.71</v>
      </c>
      <c r="I12" s="1985">
        <f t="shared" si="37"/>
        <v>0.47</v>
      </c>
      <c r="J12" s="2879"/>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9"/>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9"/>
      <c r="Y12" s="2005"/>
      <c r="Z12" s="2005"/>
      <c r="AA12" s="2005"/>
      <c r="AB12" s="2005"/>
      <c r="AC12" s="2005"/>
      <c r="AD12" s="2005"/>
    </row>
    <row r="13" spans="1:30" s="2022" customFormat="1" ht="12.75">
      <c r="A13" s="2878" t="s">
        <v>3365</v>
      </c>
      <c r="B13" s="2008">
        <v>2023</v>
      </c>
      <c r="C13" s="2019">
        <v>1</v>
      </c>
      <c r="D13" s="1984">
        <v>0.89</v>
      </c>
      <c r="E13" s="1984">
        <v>0.74</v>
      </c>
      <c r="F13" s="1984">
        <v>0.56999999999999995</v>
      </c>
      <c r="G13" s="1984">
        <v>0.92</v>
      </c>
      <c r="H13" s="2890">
        <v>0.5</v>
      </c>
      <c r="I13" s="1985">
        <f t="shared" si="37"/>
        <v>0.56999999999999995</v>
      </c>
      <c r="J13" s="2879"/>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9"/>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9"/>
      <c r="Y13" s="2005"/>
      <c r="Z13" s="2005"/>
      <c r="AA13" s="2005"/>
      <c r="AB13" s="2005"/>
      <c r="AC13" s="2005"/>
      <c r="AD13" s="2005"/>
    </row>
    <row r="14" spans="1:30" s="2022" customFormat="1" ht="12.75">
      <c r="A14" s="2878" t="s">
        <v>3364</v>
      </c>
      <c r="B14" s="2008">
        <v>2022</v>
      </c>
      <c r="C14" s="2019">
        <v>4</v>
      </c>
      <c r="D14" s="1984">
        <v>0.62</v>
      </c>
      <c r="E14" s="1984">
        <v>0.2</v>
      </c>
      <c r="F14" s="1984">
        <v>0.11</v>
      </c>
      <c r="G14" s="1984">
        <v>0.69</v>
      </c>
      <c r="H14" s="2890">
        <v>0.53</v>
      </c>
      <c r="I14" s="1985">
        <f t="shared" si="37"/>
        <v>0.11</v>
      </c>
      <c r="J14" s="2879"/>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9"/>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9"/>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8" t="s">
        <v>3362</v>
      </c>
      <c r="B15" s="2008">
        <v>2022</v>
      </c>
      <c r="C15" s="2019">
        <v>3</v>
      </c>
      <c r="D15" s="1984">
        <v>0.66</v>
      </c>
      <c r="E15" s="1984">
        <v>0.32</v>
      </c>
      <c r="F15" s="1984">
        <v>0.23</v>
      </c>
      <c r="G15" s="1984">
        <v>0.72</v>
      </c>
      <c r="H15" s="2890">
        <v>0.63</v>
      </c>
      <c r="I15" s="1985">
        <f t="shared" si="37"/>
        <v>0.23</v>
      </c>
      <c r="J15" s="2879"/>
      <c r="K15" s="2020">
        <f t="shared" si="38"/>
        <v>6.6E-3</v>
      </c>
      <c r="L15" s="2005">
        <f t="shared" si="38"/>
        <v>3.2000000000000002E-3</v>
      </c>
      <c r="M15" s="2005">
        <f t="shared" si="38"/>
        <v>2.3E-3</v>
      </c>
      <c r="N15" s="2005">
        <f t="shared" si="38"/>
        <v>7.1999999999999998E-3</v>
      </c>
      <c r="O15" s="2005">
        <f t="shared" si="38"/>
        <v>6.3E-3</v>
      </c>
      <c r="P15" s="2005">
        <f t="shared" si="58"/>
        <v>2.3E-3</v>
      </c>
      <c r="Q15" s="2879"/>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9"/>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8" t="s">
        <v>3353</v>
      </c>
      <c r="B16" s="2008">
        <v>2022</v>
      </c>
      <c r="C16" s="2019">
        <v>2</v>
      </c>
      <c r="D16" s="1984">
        <v>0.93</v>
      </c>
      <c r="E16" s="1984">
        <v>0.15</v>
      </c>
      <c r="F16" s="1984">
        <v>0.01</v>
      </c>
      <c r="G16" s="1984">
        <v>1.05</v>
      </c>
      <c r="H16" s="2890">
        <v>1.08</v>
      </c>
      <c r="I16" s="1985">
        <f t="shared" si="37"/>
        <v>0.01</v>
      </c>
      <c r="J16" s="2879"/>
      <c r="K16" s="2020">
        <f t="shared" si="38"/>
        <v>9.300000000000001E-3</v>
      </c>
      <c r="L16" s="2005">
        <f t="shared" si="38"/>
        <v>1.5E-3</v>
      </c>
      <c r="M16" s="2005">
        <f t="shared" si="38"/>
        <v>1E-4</v>
      </c>
      <c r="N16" s="2005">
        <f t="shared" si="38"/>
        <v>1.0500000000000001E-2</v>
      </c>
      <c r="O16" s="2005">
        <f t="shared" si="38"/>
        <v>1.0800000000000001E-2</v>
      </c>
      <c r="P16" s="2005">
        <f t="shared" si="58"/>
        <v>1E-4</v>
      </c>
      <c r="Q16" s="2879"/>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9"/>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8" t="s">
        <v>2818</v>
      </c>
      <c r="B17" s="2008">
        <v>2022</v>
      </c>
      <c r="C17" s="2019">
        <v>1</v>
      </c>
      <c r="D17" s="1984">
        <v>0.89</v>
      </c>
      <c r="E17" s="1984">
        <v>0.44</v>
      </c>
      <c r="F17" s="1984">
        <v>0.37</v>
      </c>
      <c r="G17" s="1984">
        <v>0.96</v>
      </c>
      <c r="H17" s="2890">
        <v>0.64</v>
      </c>
      <c r="I17" s="1985">
        <f t="shared" si="37"/>
        <v>0.37</v>
      </c>
      <c r="J17" s="2879"/>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9"/>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9"/>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8" t="s">
        <v>2819</v>
      </c>
      <c r="B18" s="2008">
        <v>2021</v>
      </c>
      <c r="C18" s="2019">
        <v>4</v>
      </c>
      <c r="D18" s="1984">
        <v>1.03</v>
      </c>
      <c r="E18" s="1984">
        <v>0.24</v>
      </c>
      <c r="F18" s="1984">
        <v>7.0000000000000007E-2</v>
      </c>
      <c r="G18" s="1984">
        <v>1.17</v>
      </c>
      <c r="H18" s="2890">
        <v>0.55000000000000004</v>
      </c>
      <c r="I18" s="1985">
        <f t="shared" si="37"/>
        <v>7.0000000000000007E-2</v>
      </c>
      <c r="J18" s="2879"/>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9"/>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9"/>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8" t="s">
        <v>2820</v>
      </c>
      <c r="B19" s="2008">
        <v>2021</v>
      </c>
      <c r="C19" s="2019">
        <v>3</v>
      </c>
      <c r="D19" s="1984">
        <v>0.47</v>
      </c>
      <c r="E19" s="1984">
        <v>0.41</v>
      </c>
      <c r="F19" s="1984">
        <v>0.24</v>
      </c>
      <c r="G19" s="1984">
        <v>0.48</v>
      </c>
      <c r="H19" s="2890">
        <v>0.48</v>
      </c>
      <c r="I19" s="1985">
        <f t="shared" si="37"/>
        <v>0.24</v>
      </c>
      <c r="J19" s="2879"/>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9"/>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9"/>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8" t="s">
        <v>2821</v>
      </c>
      <c r="B20" s="2008">
        <v>2021</v>
      </c>
      <c r="C20" s="2019">
        <v>2</v>
      </c>
      <c r="D20" s="1984">
        <v>0.92</v>
      </c>
      <c r="E20" s="1984">
        <v>0.72</v>
      </c>
      <c r="F20" s="1984">
        <v>0.41</v>
      </c>
      <c r="G20" s="1984">
        <v>0.95</v>
      </c>
      <c r="H20" s="2890">
        <v>1.01</v>
      </c>
      <c r="I20" s="1985">
        <f t="shared" si="37"/>
        <v>0.41</v>
      </c>
      <c r="J20" s="2879"/>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9"/>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9"/>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1" customFormat="1" thickBot="1">
      <c r="A21" s="2891" t="s">
        <v>2822</v>
      </c>
      <c r="B21" s="2892">
        <v>2021</v>
      </c>
      <c r="C21" s="2893">
        <v>1</v>
      </c>
      <c r="D21" s="2894">
        <v>0.97</v>
      </c>
      <c r="E21" s="2894">
        <v>0.16</v>
      </c>
      <c r="F21" s="2894">
        <v>-0.25</v>
      </c>
      <c r="G21" s="2894">
        <v>1.1100000000000001</v>
      </c>
      <c r="H21" s="2895">
        <v>0.36</v>
      </c>
      <c r="I21" s="2896">
        <f t="shared" si="37"/>
        <v>-0.25</v>
      </c>
      <c r="J21" s="2897"/>
      <c r="K21" s="2898">
        <f t="shared" si="38"/>
        <v>9.7000000000000003E-3</v>
      </c>
      <c r="L21" s="2899">
        <f t="shared" si="38"/>
        <v>1.6000000000000001E-3</v>
      </c>
      <c r="M21" s="2899">
        <f>F21/100</f>
        <v>-2.5000000000000001E-3</v>
      </c>
      <c r="N21" s="2899">
        <f t="shared" si="38"/>
        <v>1.11E-2</v>
      </c>
      <c r="O21" s="2899">
        <f t="shared" si="38"/>
        <v>3.5999999999999999E-3</v>
      </c>
      <c r="P21" s="2899">
        <f t="shared" si="58"/>
        <v>-2.5000000000000001E-3</v>
      </c>
      <c r="Q21" s="2897"/>
      <c r="R21" s="2900">
        <v>1</v>
      </c>
      <c r="S21" s="2900">
        <v>1</v>
      </c>
      <c r="T21" s="2900">
        <v>1</v>
      </c>
      <c r="U21" s="2900">
        <v>1</v>
      </c>
      <c r="V21" s="2900">
        <v>1</v>
      </c>
      <c r="W21" s="2900">
        <f t="shared" ref="W21" si="64">T21</f>
        <v>1</v>
      </c>
      <c r="X21" s="2897"/>
      <c r="Y21" s="2899">
        <f>IF(D21=0,0,ROUND(AVERAGE(D21:D21)/100,4))</f>
        <v>9.7000000000000003E-3</v>
      </c>
      <c r="Z21" s="2899">
        <f>IF(E21=0,0,ROUND(AVERAGE(E21:E21)/100,4))</f>
        <v>1.6000000000000001E-3</v>
      </c>
      <c r="AA21" s="2899">
        <f>IF(F21=0,0,ROUND(AVERAGE(F21:F21)/100,4))</f>
        <v>-2.5000000000000001E-3</v>
      </c>
      <c r="AB21" s="2899">
        <f>IF(G21=0,0,ROUND(AVERAGE(G21:G21)/100,4))</f>
        <v>1.11E-2</v>
      </c>
      <c r="AC21" s="2899">
        <f>IF(H21=0,0,ROUND(AVERAGE(H21:H21)/100,4))</f>
        <v>3.5999999999999999E-3</v>
      </c>
      <c r="AD21" s="2899">
        <f>AA21</f>
        <v>-2.5000000000000001E-3</v>
      </c>
    </row>
    <row r="22" spans="1:30" ht="14.25" thickTop="1"/>
    <row r="23" spans="1:30">
      <c r="A23" s="3115" t="s">
        <v>3381</v>
      </c>
    </row>
    <row r="24" spans="1:30">
      <c r="I24" s="1383" t="s">
        <v>2823</v>
      </c>
    </row>
    <row r="26" spans="1:30" s="1986" customFormat="1" ht="12.75">
      <c r="B26" s="2902" t="s">
        <v>3379</v>
      </c>
      <c r="C26" s="2903"/>
      <c r="D26" s="2903"/>
      <c r="E26" s="2903"/>
      <c r="F26" s="2903"/>
      <c r="G26" s="2903"/>
      <c r="H26" s="2903"/>
      <c r="I26" s="2903"/>
      <c r="J26" s="2869"/>
      <c r="K26" s="2903" t="s">
        <v>2824</v>
      </c>
      <c r="L26" s="2903"/>
      <c r="M26" s="2903"/>
      <c r="N26" s="2903"/>
      <c r="O26" s="2903"/>
      <c r="P26" s="2903"/>
      <c r="Q26" s="2869"/>
      <c r="R26" s="3467" t="s">
        <v>2825</v>
      </c>
      <c r="S26" s="3468"/>
      <c r="T26" s="3468"/>
      <c r="U26" s="3468"/>
      <c r="V26" s="3468"/>
      <c r="W26" s="3468"/>
      <c r="X26" s="2869"/>
      <c r="Y26" s="3467" t="s">
        <v>2826</v>
      </c>
      <c r="Z26" s="3468"/>
      <c r="AA26" s="3468"/>
      <c r="AB26" s="3468"/>
      <c r="AC26" s="3468"/>
      <c r="AD26" s="3468"/>
    </row>
    <row r="27" spans="1:30" s="1987" customFormat="1" ht="14.25" thickBot="1">
      <c r="B27" s="2854"/>
      <c r="C27" s="2855"/>
      <c r="D27" s="1988" t="s">
        <v>2827</v>
      </c>
      <c r="E27" s="1989" t="s">
        <v>2828</v>
      </c>
      <c r="F27" s="1989" t="s">
        <v>2829</v>
      </c>
      <c r="G27" s="1989" t="s">
        <v>2830</v>
      </c>
      <c r="H27" s="1989"/>
      <c r="I27" s="1989" t="s">
        <v>2831</v>
      </c>
      <c r="J27" s="2856"/>
      <c r="K27" s="1988" t="s">
        <v>2827</v>
      </c>
      <c r="L27" s="1989" t="s">
        <v>2828</v>
      </c>
      <c r="M27" s="1989" t="s">
        <v>2829</v>
      </c>
      <c r="N27" s="1989" t="s">
        <v>2830</v>
      </c>
      <c r="O27" s="1989"/>
      <c r="P27" s="1989" t="s">
        <v>2831</v>
      </c>
      <c r="Q27" s="2856"/>
      <c r="R27" s="1988" t="s">
        <v>2827</v>
      </c>
      <c r="S27" s="1989" t="s">
        <v>2828</v>
      </c>
      <c r="T27" s="1989" t="s">
        <v>2829</v>
      </c>
      <c r="U27" s="1989" t="s">
        <v>2830</v>
      </c>
      <c r="V27" s="1989"/>
      <c r="W27" s="1989" t="s">
        <v>2831</v>
      </c>
      <c r="X27" s="2856"/>
      <c r="Y27" s="1988" t="s">
        <v>2827</v>
      </c>
      <c r="Z27" s="1989" t="s">
        <v>2828</v>
      </c>
      <c r="AA27" s="1989" t="s">
        <v>2829</v>
      </c>
      <c r="AB27" s="1989" t="s">
        <v>2830</v>
      </c>
      <c r="AC27" s="1989"/>
      <c r="AD27" s="1989" t="s">
        <v>2831</v>
      </c>
    </row>
    <row r="28" spans="1:30" s="2859" customFormat="1" ht="12.75">
      <c r="A28" s="2857" t="s">
        <v>2832</v>
      </c>
      <c r="B28" s="2858"/>
      <c r="E28" s="2859">
        <f t="shared" ref="E28:G28" si="65">ROUND(AVERAGEIF(E29:E46,"&lt;&gt;0"),2)</f>
        <v>0.26</v>
      </c>
      <c r="F28" s="2859">
        <f t="shared" si="65"/>
        <v>0.19</v>
      </c>
      <c r="G28" s="2859">
        <f t="shared" si="65"/>
        <v>0.38</v>
      </c>
      <c r="I28" s="2859">
        <f>F28</f>
        <v>0.19</v>
      </c>
      <c r="J28" s="2860"/>
      <c r="K28" s="2861"/>
      <c r="L28" s="2862">
        <f t="shared" ref="L28:N28" si="66">ROUND(AVERAGEIF(L29:L46,"&lt;&gt;0"),4)</f>
        <v>2.5999999999999999E-3</v>
      </c>
      <c r="M28" s="2862">
        <f t="shared" si="66"/>
        <v>1.9E-3</v>
      </c>
      <c r="N28" s="2862">
        <f t="shared" si="66"/>
        <v>3.8E-3</v>
      </c>
      <c r="O28" s="2862"/>
      <c r="P28" s="2862">
        <f>M28</f>
        <v>1.9E-3</v>
      </c>
      <c r="Q28" s="2860"/>
      <c r="R28" s="2863"/>
      <c r="S28" s="2864">
        <f>ROUND(SUMPRODUCT(PRODUCT(1+L29:L46)),4)</f>
        <v>1.04</v>
      </c>
      <c r="T28" s="2864">
        <f t="shared" ref="T28:U28" si="67">ROUND(SUMPRODUCT(PRODUCT(1+M29:M46)),4)</f>
        <v>1.0293000000000001</v>
      </c>
      <c r="U28" s="2864">
        <f t="shared" si="67"/>
        <v>1.0583</v>
      </c>
      <c r="V28" s="2864"/>
      <c r="W28" s="2863">
        <f>T28</f>
        <v>1.0293000000000001</v>
      </c>
      <c r="X28" s="2860"/>
      <c r="Y28" s="2865"/>
      <c r="Z28" s="2866">
        <f t="shared" ref="Z28:AB28" si="68">ROUND(AVERAGEIF(Z29:Z46,"&lt;&gt;0"),4)</f>
        <v>4.1000000000000003E-3</v>
      </c>
      <c r="AA28" s="2867">
        <f t="shared" si="68"/>
        <v>3.3E-3</v>
      </c>
      <c r="AB28" s="2865">
        <f t="shared" si="68"/>
        <v>8.0999999999999996E-3</v>
      </c>
      <c r="AC28" s="2868"/>
      <c r="AD28" s="2865">
        <f>AA28</f>
        <v>3.3E-3</v>
      </c>
    </row>
    <row r="29" spans="1:30" s="1986" customFormat="1" ht="12.75">
      <c r="B29" s="2002"/>
      <c r="J29" s="2869"/>
      <c r="K29" s="2870"/>
      <c r="L29" s="2871"/>
      <c r="M29" s="2871"/>
      <c r="N29" s="2871"/>
      <c r="O29" s="2871"/>
      <c r="P29" s="2871"/>
      <c r="Q29" s="2869"/>
      <c r="R29" s="2004"/>
      <c r="S29" s="2872"/>
      <c r="T29" s="2873"/>
      <c r="U29" s="2004"/>
      <c r="V29" s="2874"/>
      <c r="W29" s="2004"/>
      <c r="X29" s="2869"/>
      <c r="Y29" s="2005"/>
      <c r="Z29" s="2875"/>
      <c r="AA29" s="2876"/>
      <c r="AB29" s="2005"/>
      <c r="AC29" s="2877"/>
      <c r="AD29" s="2005"/>
    </row>
    <row r="30" spans="1:30" s="2022" customFormat="1" ht="12.75">
      <c r="A30" s="2017" t="s">
        <v>3374</v>
      </c>
      <c r="B30" s="2008">
        <v>2025</v>
      </c>
      <c r="C30" s="2019">
        <v>1</v>
      </c>
      <c r="D30" s="1984"/>
      <c r="E30" s="1984">
        <v>0</v>
      </c>
      <c r="F30" s="1984">
        <v>0</v>
      </c>
      <c r="G30" s="1984">
        <v>0</v>
      </c>
      <c r="H30" s="1984"/>
      <c r="I30" s="1985">
        <f t="shared" ref="I30" si="69">F30</f>
        <v>0</v>
      </c>
      <c r="J30" s="2879"/>
      <c r="K30" s="2020"/>
      <c r="L30" s="2005">
        <f t="shared" ref="L30" si="70">E30/100</f>
        <v>0</v>
      </c>
      <c r="M30" s="2005">
        <f t="shared" ref="M30" si="71">F30/100</f>
        <v>0</v>
      </c>
      <c r="N30" s="2005">
        <f t="shared" ref="N30" si="72">G30/100</f>
        <v>0</v>
      </c>
      <c r="O30" s="2005"/>
      <c r="P30" s="2005">
        <f>M30</f>
        <v>0</v>
      </c>
      <c r="Q30" s="2879"/>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9"/>
      <c r="Y30" s="2005"/>
      <c r="Z30" s="2875">
        <f t="shared" ref="Z30" si="73">IF(E30=0,0,ROUND(AVERAGE(E30:E43)/100,4))</f>
        <v>0</v>
      </c>
      <c r="AA30" s="2875">
        <f t="shared" ref="AA30" si="74">IF(F30=0,0,ROUND(AVERAGE(F30:F43)/100,4))</f>
        <v>0</v>
      </c>
      <c r="AB30" s="2875">
        <f t="shared" ref="AB30" si="75">IF(G30=0,0,ROUND(AVERAGE(G30:G43)/100,4))</f>
        <v>0</v>
      </c>
      <c r="AC30" s="2877"/>
      <c r="AD30" s="2005">
        <f>IF(I30=0,0,ROUND(AVERAGE(I30:I43)/100,4))</f>
        <v>0</v>
      </c>
    </row>
    <row r="31" spans="1:30" s="2889" customFormat="1" ht="12.75">
      <c r="A31" s="2880" t="s">
        <v>3376</v>
      </c>
      <c r="B31" s="2881">
        <v>2024</v>
      </c>
      <c r="C31" s="2882">
        <v>4</v>
      </c>
      <c r="D31" s="2883"/>
      <c r="E31" s="2883">
        <v>0</v>
      </c>
      <c r="F31" s="2883">
        <v>0</v>
      </c>
      <c r="G31" s="2883">
        <v>0</v>
      </c>
      <c r="H31" s="2884"/>
      <c r="I31" s="2885">
        <f t="shared" ref="I31" si="76">F31</f>
        <v>0</v>
      </c>
      <c r="J31" s="2886"/>
      <c r="K31" s="2887"/>
      <c r="L31" s="2888">
        <f t="shared" ref="L31" si="77">E31/100</f>
        <v>0</v>
      </c>
      <c r="M31" s="2888">
        <f t="shared" ref="M31" si="78">F31/100</f>
        <v>0</v>
      </c>
      <c r="N31" s="2888">
        <f t="shared" ref="N31" si="79">G31/100</f>
        <v>0</v>
      </c>
      <c r="O31" s="2888"/>
      <c r="P31" s="2888">
        <f>M31</f>
        <v>0</v>
      </c>
      <c r="Q31" s="2886"/>
      <c r="R31" s="2886"/>
      <c r="S31" s="2886">
        <f>ROUND(IF(项目基本情况!$B$8="出让",SUMPRODUCT(PRODUCT(1+L31:L$46)),SUMPRODUCT(PRODUCT(1+L31:L$45))),4)</f>
        <v>1.0364</v>
      </c>
      <c r="T31" s="2886">
        <f>ROUND(IF(项目基本情况!$B$8="出让",SUMPRODUCT(PRODUCT(1+M31:M$46)),SUMPRODUCT(PRODUCT(1+M31:M$45))),4)</f>
        <v>1.0244</v>
      </c>
      <c r="U31" s="2886">
        <f>ROUND(IF(项目基本情况!$B$8="出让",SUMPRODUCT(PRODUCT(1+N31:N$46)),SUMPRODUCT(PRODUCT(1+N31:N$45))),4)</f>
        <v>1.048</v>
      </c>
      <c r="V31" s="2886"/>
      <c r="W31" s="2886">
        <f>T31</f>
        <v>1.0244</v>
      </c>
      <c r="X31" s="2886"/>
      <c r="Y31" s="2888"/>
      <c r="Z31" s="2904">
        <f t="shared" ref="Z31" si="80">IF(E31=0,0,ROUND(AVERAGE(E31:E44)/100,4))</f>
        <v>0</v>
      </c>
      <c r="AA31" s="2905">
        <f t="shared" ref="AA31" si="81">IF(F31=0,0,ROUND(AVERAGE(F31:F44)/100,4))</f>
        <v>0</v>
      </c>
      <c r="AB31" s="2888">
        <f t="shared" ref="AB31" si="82">IF(G31=0,0,ROUND(AVERAGE(G31:G44)/100,4))</f>
        <v>0</v>
      </c>
      <c r="AC31" s="2906"/>
      <c r="AD31" s="2888">
        <f>IF(I31=0,0,ROUND(AVERAGE(I31:I44)/100,4))</f>
        <v>0</v>
      </c>
    </row>
    <row r="32" spans="1:30" s="2022" customFormat="1" ht="12.75">
      <c r="A32" s="2017" t="s">
        <v>3371</v>
      </c>
      <c r="B32" s="2008">
        <v>2024</v>
      </c>
      <c r="C32" s="2019">
        <v>3</v>
      </c>
      <c r="D32" s="1984"/>
      <c r="E32" s="1984">
        <v>-0.66</v>
      </c>
      <c r="F32" s="1984">
        <v>-0.52</v>
      </c>
      <c r="G32" s="1984">
        <v>-2.87</v>
      </c>
      <c r="H32" s="1984"/>
      <c r="I32" s="1985">
        <f t="shared" ref="I32" si="83">F32</f>
        <v>-0.52</v>
      </c>
      <c r="J32" s="2879"/>
      <c r="K32" s="2020"/>
      <c r="L32" s="2005">
        <f t="shared" ref="L32" si="84">E32/100</f>
        <v>-6.6E-3</v>
      </c>
      <c r="M32" s="2005">
        <f t="shared" ref="M32" si="85">F32/100</f>
        <v>-5.1999999999999998E-3</v>
      </c>
      <c r="N32" s="2005">
        <f t="shared" ref="N32" si="86">G32/100</f>
        <v>-2.87E-2</v>
      </c>
      <c r="O32" s="2005"/>
      <c r="P32" s="2005">
        <f>M32</f>
        <v>-5.1999999999999998E-3</v>
      </c>
      <c r="Q32" s="2879"/>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9"/>
      <c r="Y32" s="2005"/>
      <c r="Z32" s="2875">
        <f t="shared" ref="Z32:AB33" si="87">IF(E32=0,0,ROUND(AVERAGE(E32:E45)/100,4))</f>
        <v>2.5999999999999999E-3</v>
      </c>
      <c r="AA32" s="2875">
        <f t="shared" si="87"/>
        <v>1.6999999999999999E-3</v>
      </c>
      <c r="AB32" s="2875">
        <f t="shared" si="87"/>
        <v>3.3999999999999998E-3</v>
      </c>
      <c r="AC32" s="2877"/>
      <c r="AD32" s="2005">
        <f>IF(I32=0,0,ROUND(AVERAGE(I32:I45)/100,4))</f>
        <v>1.6999999999999999E-3</v>
      </c>
    </row>
    <row r="33" spans="1:30" s="2022" customFormat="1" ht="12.75">
      <c r="A33" s="2878" t="s">
        <v>3377</v>
      </c>
      <c r="B33" s="2008">
        <v>2024</v>
      </c>
      <c r="C33" s="2019">
        <v>2</v>
      </c>
      <c r="D33" s="1984"/>
      <c r="E33" s="1984">
        <v>-0.31</v>
      </c>
      <c r="F33" s="1984">
        <v>-0.39</v>
      </c>
      <c r="G33" s="1984">
        <v>1.23</v>
      </c>
      <c r="H33" s="2890"/>
      <c r="I33" s="1985">
        <f t="shared" ref="I33:I46" si="88">F33</f>
        <v>-0.39</v>
      </c>
      <c r="J33" s="2879"/>
      <c r="K33" s="2020"/>
      <c r="L33" s="2005">
        <f t="shared" ref="L33:N46" si="89">E33/100</f>
        <v>-3.0999999999999999E-3</v>
      </c>
      <c r="M33" s="2005">
        <f t="shared" si="89"/>
        <v>-3.9000000000000003E-3</v>
      </c>
      <c r="N33" s="2005">
        <f t="shared" si="89"/>
        <v>1.23E-2</v>
      </c>
      <c r="O33" s="2005"/>
      <c r="P33" s="2005">
        <f>M33</f>
        <v>-3.9000000000000003E-3</v>
      </c>
      <c r="Q33" s="2879"/>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9"/>
      <c r="Y33" s="2005"/>
      <c r="Z33" s="2875">
        <f t="shared" si="87"/>
        <v>3.3E-3</v>
      </c>
      <c r="AA33" s="2876">
        <f t="shared" si="87"/>
        <v>2.3999999999999998E-3</v>
      </c>
      <c r="AB33" s="2005">
        <f t="shared" si="87"/>
        <v>6.1999999999999998E-3</v>
      </c>
      <c r="AC33" s="2877"/>
      <c r="AD33" s="2005">
        <f>IF(I33=0,0,ROUND(AVERAGE(I33:I46)/100,4))</f>
        <v>2.3999999999999998E-3</v>
      </c>
    </row>
    <row r="34" spans="1:30" s="2022" customFormat="1" ht="12.75">
      <c r="A34" s="2878" t="s">
        <v>3372</v>
      </c>
      <c r="B34" s="2008">
        <v>2024</v>
      </c>
      <c r="C34" s="2019">
        <v>1</v>
      </c>
      <c r="D34" s="1984"/>
      <c r="E34" s="1984">
        <v>0.25</v>
      </c>
      <c r="F34" s="1984">
        <v>0.4</v>
      </c>
      <c r="G34" s="1984">
        <v>-0.63</v>
      </c>
      <c r="H34" s="2890"/>
      <c r="I34" s="1985">
        <f t="shared" ref="I34:I35" si="90">F34</f>
        <v>0.4</v>
      </c>
      <c r="J34" s="2879"/>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9"/>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9"/>
      <c r="Y34" s="2005"/>
      <c r="Z34" s="2875"/>
      <c r="AA34" s="2876"/>
      <c r="AB34" s="2005"/>
      <c r="AC34" s="2877"/>
      <c r="AD34" s="2005"/>
    </row>
    <row r="35" spans="1:30" s="2022" customFormat="1" ht="12.75">
      <c r="A35" s="2878" t="s">
        <v>3370</v>
      </c>
      <c r="B35" s="2008">
        <v>2023</v>
      </c>
      <c r="C35" s="2019">
        <v>4</v>
      </c>
      <c r="D35" s="1984"/>
      <c r="E35" s="1984">
        <v>7.0000000000000007E-2</v>
      </c>
      <c r="F35" s="1984">
        <v>0.09</v>
      </c>
      <c r="G35" s="1984">
        <v>0.03</v>
      </c>
      <c r="H35" s="2890"/>
      <c r="I35" s="1985">
        <f t="shared" si="90"/>
        <v>0.09</v>
      </c>
      <c r="J35" s="2879"/>
      <c r="K35" s="2020"/>
      <c r="L35" s="2005">
        <f t="shared" si="89"/>
        <v>7.000000000000001E-4</v>
      </c>
      <c r="M35" s="2005">
        <f t="shared" si="89"/>
        <v>8.9999999999999998E-4</v>
      </c>
      <c r="N35" s="2005">
        <f t="shared" si="89"/>
        <v>2.9999999999999997E-4</v>
      </c>
      <c r="O35" s="2005"/>
      <c r="P35" s="2005">
        <f t="shared" ref="P35" si="96">M35</f>
        <v>8.9999999999999998E-4</v>
      </c>
      <c r="Q35" s="2879"/>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9"/>
      <c r="Y35" s="2005"/>
      <c r="Z35" s="2875"/>
      <c r="AA35" s="2876"/>
      <c r="AB35" s="2005"/>
      <c r="AC35" s="2877"/>
      <c r="AD35" s="2005"/>
    </row>
    <row r="36" spans="1:30" s="2022" customFormat="1" ht="12.75">
      <c r="A36" s="2878" t="s">
        <v>3368</v>
      </c>
      <c r="B36" s="2008">
        <v>2023</v>
      </c>
      <c r="C36" s="2019">
        <v>3</v>
      </c>
      <c r="D36" s="1984"/>
      <c r="E36" s="1984">
        <v>0.35</v>
      </c>
      <c r="F36" s="1984">
        <v>0.17</v>
      </c>
      <c r="G36" s="1984">
        <v>0.52</v>
      </c>
      <c r="H36" s="2890"/>
      <c r="I36" s="1985">
        <f t="shared" si="88"/>
        <v>0.17</v>
      </c>
      <c r="J36" s="2879"/>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9"/>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9"/>
      <c r="Y36" s="2005"/>
      <c r="Z36" s="2875"/>
      <c r="AA36" s="2876"/>
      <c r="AB36" s="2005"/>
      <c r="AC36" s="2877"/>
      <c r="AD36" s="2005"/>
    </row>
    <row r="37" spans="1:30" s="2022" customFormat="1" ht="12.75">
      <c r="A37" s="2878" t="s">
        <v>3367</v>
      </c>
      <c r="B37" s="2008">
        <v>2023</v>
      </c>
      <c r="C37" s="2019">
        <v>2</v>
      </c>
      <c r="D37" s="1984"/>
      <c r="E37" s="1984">
        <v>0.5</v>
      </c>
      <c r="F37" s="1984">
        <v>0.45</v>
      </c>
      <c r="G37" s="1984">
        <v>0.89</v>
      </c>
      <c r="H37" s="2890"/>
      <c r="I37" s="1985">
        <f t="shared" si="88"/>
        <v>0.45</v>
      </c>
      <c r="J37" s="2879"/>
      <c r="K37" s="2020"/>
      <c r="L37" s="2005">
        <f t="shared" si="98"/>
        <v>5.0000000000000001E-3</v>
      </c>
      <c r="M37" s="2005">
        <f t="shared" si="99"/>
        <v>4.5000000000000005E-3</v>
      </c>
      <c r="N37" s="2005">
        <f t="shared" si="100"/>
        <v>8.8999999999999999E-3</v>
      </c>
      <c r="O37" s="2005"/>
      <c r="P37" s="2005">
        <f t="shared" si="101"/>
        <v>4.5000000000000005E-3</v>
      </c>
      <c r="Q37" s="2879"/>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9"/>
      <c r="Y37" s="2005"/>
      <c r="Z37" s="2875"/>
      <c r="AA37" s="2876"/>
      <c r="AB37" s="2005"/>
      <c r="AC37" s="2877"/>
      <c r="AD37" s="2005"/>
    </row>
    <row r="38" spans="1:30" s="2022" customFormat="1" ht="12.75">
      <c r="A38" s="2878" t="s">
        <v>3365</v>
      </c>
      <c r="B38" s="2008">
        <v>2023</v>
      </c>
      <c r="C38" s="2019">
        <v>1</v>
      </c>
      <c r="D38" s="1984"/>
      <c r="E38" s="1984">
        <v>0.55000000000000004</v>
      </c>
      <c r="F38" s="1984">
        <v>0.59</v>
      </c>
      <c r="G38" s="1984">
        <v>0.64</v>
      </c>
      <c r="H38" s="2890"/>
      <c r="I38" s="1985">
        <f t="shared" si="88"/>
        <v>0.59</v>
      </c>
      <c r="J38" s="2879"/>
      <c r="K38" s="2020"/>
      <c r="L38" s="2005">
        <f t="shared" si="98"/>
        <v>5.5000000000000005E-3</v>
      </c>
      <c r="M38" s="2005">
        <f t="shared" si="99"/>
        <v>5.8999999999999999E-3</v>
      </c>
      <c r="N38" s="2005">
        <f t="shared" si="100"/>
        <v>6.4000000000000003E-3</v>
      </c>
      <c r="O38" s="2005"/>
      <c r="P38" s="2005">
        <f t="shared" si="101"/>
        <v>5.8999999999999999E-3</v>
      </c>
      <c r="Q38" s="2879"/>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9"/>
      <c r="Y38" s="2005"/>
      <c r="Z38" s="2875"/>
      <c r="AA38" s="2876"/>
      <c r="AB38" s="2005"/>
      <c r="AC38" s="2877"/>
      <c r="AD38" s="2005"/>
    </row>
    <row r="39" spans="1:30" s="2022" customFormat="1" ht="12.75">
      <c r="A39" s="2878" t="s">
        <v>3364</v>
      </c>
      <c r="B39" s="2008">
        <v>2022</v>
      </c>
      <c r="C39" s="2019">
        <v>4</v>
      </c>
      <c r="D39" s="1984"/>
      <c r="E39" s="1984">
        <v>0.45</v>
      </c>
      <c r="F39" s="1984">
        <v>0.2</v>
      </c>
      <c r="G39" s="1984">
        <v>0.38</v>
      </c>
      <c r="H39" s="2890"/>
      <c r="I39" s="1985">
        <f t="shared" si="88"/>
        <v>0.2</v>
      </c>
      <c r="J39" s="2879"/>
      <c r="K39" s="2020"/>
      <c r="L39" s="2005">
        <f t="shared" si="89"/>
        <v>4.5000000000000005E-3</v>
      </c>
      <c r="M39" s="2005">
        <f t="shared" si="89"/>
        <v>2E-3</v>
      </c>
      <c r="N39" s="2005">
        <f t="shared" si="89"/>
        <v>3.8E-3</v>
      </c>
      <c r="O39" s="2005"/>
      <c r="P39" s="2005">
        <f t="shared" ref="P39:P46" si="103">M39</f>
        <v>2E-3</v>
      </c>
      <c r="Q39" s="2879"/>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9"/>
      <c r="Y39" s="2005"/>
      <c r="Z39" s="2875">
        <f t="shared" ref="Z39:AD46" si="105">IF(E39=0,0,ROUND(AVERAGE(E39:E47)/100,4))</f>
        <v>4.0000000000000001E-3</v>
      </c>
      <c r="AA39" s="2876">
        <f t="shared" si="105"/>
        <v>2.5999999999999999E-3</v>
      </c>
      <c r="AB39" s="2005">
        <f t="shared" si="105"/>
        <v>7.4000000000000003E-3</v>
      </c>
      <c r="AC39" s="2877"/>
      <c r="AD39" s="2005">
        <f t="shared" si="105"/>
        <v>2.5999999999999999E-3</v>
      </c>
    </row>
    <row r="40" spans="1:30" s="2022" customFormat="1" ht="12.75">
      <c r="A40" s="2878" t="s">
        <v>3363</v>
      </c>
      <c r="B40" s="2008">
        <v>2022</v>
      </c>
      <c r="C40" s="2019">
        <v>3</v>
      </c>
      <c r="D40" s="1984"/>
      <c r="E40" s="1984">
        <v>0.3</v>
      </c>
      <c r="F40" s="1984">
        <v>0.28999999999999998</v>
      </c>
      <c r="G40" s="1984">
        <v>0.83</v>
      </c>
      <c r="H40" s="2890"/>
      <c r="I40" s="1985">
        <f t="shared" si="88"/>
        <v>0.28999999999999998</v>
      </c>
      <c r="J40" s="2879"/>
      <c r="K40" s="2020"/>
      <c r="L40" s="2005">
        <f t="shared" si="89"/>
        <v>3.0000000000000001E-3</v>
      </c>
      <c r="M40" s="2005">
        <f t="shared" si="89"/>
        <v>2.8999999999999998E-3</v>
      </c>
      <c r="N40" s="2005">
        <f t="shared" si="89"/>
        <v>8.3000000000000001E-3</v>
      </c>
      <c r="O40" s="2005"/>
      <c r="P40" s="2005">
        <f t="shared" si="103"/>
        <v>2.8999999999999998E-3</v>
      </c>
      <c r="Q40" s="2879"/>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9"/>
      <c r="Y40" s="2005"/>
      <c r="Z40" s="2875">
        <f t="shared" si="105"/>
        <v>3.8999999999999998E-3</v>
      </c>
      <c r="AA40" s="2876">
        <f t="shared" si="105"/>
        <v>2.7000000000000001E-3</v>
      </c>
      <c r="AB40" s="2005">
        <f t="shared" si="105"/>
        <v>7.9000000000000008E-3</v>
      </c>
      <c r="AC40" s="2877"/>
      <c r="AD40" s="2005">
        <f t="shared" si="105"/>
        <v>2.7000000000000001E-3</v>
      </c>
    </row>
    <row r="41" spans="1:30" s="2022" customFormat="1" ht="12.75">
      <c r="A41" s="2878" t="s">
        <v>3353</v>
      </c>
      <c r="B41" s="2008">
        <v>2022</v>
      </c>
      <c r="C41" s="2019">
        <v>2</v>
      </c>
      <c r="D41" s="1984"/>
      <c r="E41" s="1984">
        <v>-0.11</v>
      </c>
      <c r="F41" s="1984">
        <v>-0.13</v>
      </c>
      <c r="G41" s="1984">
        <v>0.53</v>
      </c>
      <c r="H41" s="2890"/>
      <c r="I41" s="1985">
        <f t="shared" si="88"/>
        <v>-0.13</v>
      </c>
      <c r="J41" s="2879"/>
      <c r="K41" s="2020"/>
      <c r="L41" s="2005">
        <f t="shared" si="89"/>
        <v>-1.1000000000000001E-3</v>
      </c>
      <c r="M41" s="2005">
        <f t="shared" si="89"/>
        <v>-1.2999999999999999E-3</v>
      </c>
      <c r="N41" s="2005">
        <f t="shared" si="89"/>
        <v>5.3E-3</v>
      </c>
      <c r="O41" s="2005"/>
      <c r="P41" s="2005">
        <f t="shared" si="103"/>
        <v>-1.2999999999999999E-3</v>
      </c>
      <c r="Q41" s="2879"/>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9"/>
      <c r="Y41" s="2005"/>
      <c r="Z41" s="2875">
        <f t="shared" si="105"/>
        <v>4.1000000000000003E-3</v>
      </c>
      <c r="AA41" s="2876">
        <f t="shared" si="105"/>
        <v>2.7000000000000001E-3</v>
      </c>
      <c r="AB41" s="2005">
        <f t="shared" si="105"/>
        <v>7.9000000000000008E-3</v>
      </c>
      <c r="AC41" s="2877"/>
      <c r="AD41" s="2005">
        <f t="shared" si="105"/>
        <v>2.7000000000000001E-3</v>
      </c>
    </row>
    <row r="42" spans="1:30" s="2022" customFormat="1" ht="12.75">
      <c r="A42" s="2878" t="s">
        <v>2833</v>
      </c>
      <c r="B42" s="2008">
        <v>2022</v>
      </c>
      <c r="C42" s="2019">
        <v>1</v>
      </c>
      <c r="D42" s="1984"/>
      <c r="E42" s="1984">
        <v>0.6</v>
      </c>
      <c r="F42" s="1984">
        <v>0.45</v>
      </c>
      <c r="G42" s="1984">
        <v>0.53</v>
      </c>
      <c r="H42" s="2890"/>
      <c r="I42" s="1985">
        <f t="shared" si="88"/>
        <v>0.45</v>
      </c>
      <c r="J42" s="2879"/>
      <c r="K42" s="2020"/>
      <c r="L42" s="2005">
        <f t="shared" si="89"/>
        <v>6.0000000000000001E-3</v>
      </c>
      <c r="M42" s="2005">
        <f t="shared" si="89"/>
        <v>4.5000000000000005E-3</v>
      </c>
      <c r="N42" s="2005">
        <f t="shared" si="89"/>
        <v>5.3E-3</v>
      </c>
      <c r="O42" s="2005"/>
      <c r="P42" s="2005">
        <f t="shared" si="103"/>
        <v>4.5000000000000005E-3</v>
      </c>
      <c r="Q42" s="2879"/>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9"/>
      <c r="Y42" s="2005"/>
      <c r="Z42" s="2875">
        <f t="shared" si="105"/>
        <v>5.1000000000000004E-3</v>
      </c>
      <c r="AA42" s="2876">
        <f t="shared" si="105"/>
        <v>3.5000000000000001E-3</v>
      </c>
      <c r="AB42" s="2005">
        <f t="shared" si="105"/>
        <v>8.3999999999999995E-3</v>
      </c>
      <c r="AC42" s="2877"/>
      <c r="AD42" s="2005">
        <f t="shared" si="105"/>
        <v>3.5000000000000001E-3</v>
      </c>
    </row>
    <row r="43" spans="1:30" s="2022" customFormat="1" ht="12.75">
      <c r="A43" s="2878" t="s">
        <v>2834</v>
      </c>
      <c r="B43" s="2008">
        <v>2021</v>
      </c>
      <c r="C43" s="2019">
        <v>4</v>
      </c>
      <c r="D43" s="1984"/>
      <c r="E43" s="1984">
        <v>0.57999999999999996</v>
      </c>
      <c r="F43" s="1984">
        <v>0.08</v>
      </c>
      <c r="G43" s="1984">
        <v>0.68</v>
      </c>
      <c r="H43" s="2890"/>
      <c r="I43" s="1985">
        <f t="shared" si="88"/>
        <v>0.08</v>
      </c>
      <c r="J43" s="2879"/>
      <c r="K43" s="2020"/>
      <c r="L43" s="2005">
        <f t="shared" si="89"/>
        <v>5.7999999999999996E-3</v>
      </c>
      <c r="M43" s="2005">
        <f t="shared" si="89"/>
        <v>8.0000000000000004E-4</v>
      </c>
      <c r="N43" s="2005">
        <f t="shared" si="89"/>
        <v>6.8000000000000005E-3</v>
      </c>
      <c r="O43" s="2005"/>
      <c r="P43" s="2005">
        <f t="shared" si="103"/>
        <v>8.0000000000000004E-4</v>
      </c>
      <c r="Q43" s="2879"/>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9"/>
      <c r="Y43" s="2005"/>
      <c r="Z43" s="2875">
        <f t="shared" si="105"/>
        <v>4.8999999999999998E-3</v>
      </c>
      <c r="AA43" s="2876">
        <f t="shared" si="105"/>
        <v>3.3E-3</v>
      </c>
      <c r="AB43" s="2005">
        <f t="shared" si="105"/>
        <v>9.1999999999999998E-3</v>
      </c>
      <c r="AC43" s="2877"/>
      <c r="AD43" s="2005">
        <f t="shared" si="105"/>
        <v>3.3E-3</v>
      </c>
    </row>
    <row r="44" spans="1:30" s="2022" customFormat="1" ht="12.75">
      <c r="A44" s="2878" t="s">
        <v>2835</v>
      </c>
      <c r="B44" s="2008">
        <v>2021</v>
      </c>
      <c r="C44" s="2019">
        <v>3</v>
      </c>
      <c r="D44" s="1984"/>
      <c r="E44" s="1984">
        <v>0.47</v>
      </c>
      <c r="F44" s="1984">
        <v>0.28000000000000003</v>
      </c>
      <c r="G44" s="1984">
        <v>0.91</v>
      </c>
      <c r="H44" s="2890"/>
      <c r="I44" s="1985">
        <f t="shared" si="88"/>
        <v>0.28000000000000003</v>
      </c>
      <c r="J44" s="2879"/>
      <c r="K44" s="2020"/>
      <c r="L44" s="2005">
        <f t="shared" si="89"/>
        <v>4.6999999999999993E-3</v>
      </c>
      <c r="M44" s="2005">
        <f t="shared" si="89"/>
        <v>2.8000000000000004E-3</v>
      </c>
      <c r="N44" s="2005">
        <f t="shared" si="89"/>
        <v>9.1000000000000004E-3</v>
      </c>
      <c r="O44" s="2005"/>
      <c r="P44" s="2005">
        <f t="shared" si="103"/>
        <v>2.8000000000000004E-3</v>
      </c>
      <c r="Q44" s="2879"/>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9"/>
      <c r="Y44" s="2005"/>
      <c r="Z44" s="2875">
        <f t="shared" si="105"/>
        <v>4.5999999999999999E-3</v>
      </c>
      <c r="AA44" s="2876">
        <f t="shared" si="105"/>
        <v>4.1000000000000003E-3</v>
      </c>
      <c r="AB44" s="2005">
        <f t="shared" si="105"/>
        <v>0.01</v>
      </c>
      <c r="AC44" s="2877"/>
      <c r="AD44" s="2005">
        <f t="shared" si="105"/>
        <v>4.1000000000000003E-3</v>
      </c>
    </row>
    <row r="45" spans="1:30" s="2022" customFormat="1" ht="12.75">
      <c r="A45" s="2878" t="s">
        <v>2836</v>
      </c>
      <c r="B45" s="2008">
        <v>2021</v>
      </c>
      <c r="C45" s="2019">
        <v>2</v>
      </c>
      <c r="D45" s="1984"/>
      <c r="E45" s="1984">
        <v>0.55000000000000004</v>
      </c>
      <c r="F45" s="1984">
        <v>0.46</v>
      </c>
      <c r="G45" s="1984">
        <v>1.1000000000000001</v>
      </c>
      <c r="H45" s="2890"/>
      <c r="I45" s="1985">
        <f t="shared" si="88"/>
        <v>0.46</v>
      </c>
      <c r="J45" s="2879"/>
      <c r="K45" s="2020"/>
      <c r="L45" s="2005">
        <f t="shared" si="89"/>
        <v>5.5000000000000005E-3</v>
      </c>
      <c r="M45" s="2005">
        <f t="shared" si="89"/>
        <v>4.5999999999999999E-3</v>
      </c>
      <c r="N45" s="2005">
        <f t="shared" si="89"/>
        <v>1.1000000000000001E-2</v>
      </c>
      <c r="O45" s="2005"/>
      <c r="P45" s="2005">
        <f t="shared" si="103"/>
        <v>4.5999999999999999E-3</v>
      </c>
      <c r="Q45" s="2879"/>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9"/>
      <c r="Y45" s="2005"/>
      <c r="Z45" s="2875">
        <f t="shared" si="105"/>
        <v>4.4999999999999997E-3</v>
      </c>
      <c r="AA45" s="2876">
        <f t="shared" si="105"/>
        <v>4.7000000000000002E-3</v>
      </c>
      <c r="AB45" s="2005">
        <f t="shared" si="105"/>
        <v>1.04E-2</v>
      </c>
      <c r="AC45" s="2877"/>
      <c r="AD45" s="2005">
        <f t="shared" si="105"/>
        <v>4.7000000000000002E-3</v>
      </c>
    </row>
    <row r="46" spans="1:30" s="2901" customFormat="1" thickBot="1">
      <c r="A46" s="2891" t="s">
        <v>2822</v>
      </c>
      <c r="B46" s="2892">
        <v>2021</v>
      </c>
      <c r="C46" s="2893">
        <v>1</v>
      </c>
      <c r="D46" s="2894"/>
      <c r="E46" s="2894">
        <v>0.35</v>
      </c>
      <c r="F46" s="2894">
        <v>0.48</v>
      </c>
      <c r="G46" s="2894">
        <v>0.98</v>
      </c>
      <c r="H46" s="2895"/>
      <c r="I46" s="2896">
        <f t="shared" si="88"/>
        <v>0.48</v>
      </c>
      <c r="J46" s="2897"/>
      <c r="K46" s="2898"/>
      <c r="L46" s="2899">
        <f t="shared" si="89"/>
        <v>3.4999999999999996E-3</v>
      </c>
      <c r="M46" s="2899">
        <f>F46/100</f>
        <v>4.7999999999999996E-3</v>
      </c>
      <c r="N46" s="2899">
        <f t="shared" si="89"/>
        <v>9.7999999999999997E-3</v>
      </c>
      <c r="O46" s="2899"/>
      <c r="P46" s="2899">
        <f t="shared" si="103"/>
        <v>4.7999999999999996E-3</v>
      </c>
      <c r="Q46" s="2897"/>
      <c r="R46" s="2900"/>
      <c r="S46" s="2900">
        <v>1</v>
      </c>
      <c r="T46" s="2900">
        <v>1</v>
      </c>
      <c r="U46" s="2900">
        <v>1</v>
      </c>
      <c r="V46" s="2900"/>
      <c r="W46" s="2900">
        <f t="shared" si="104"/>
        <v>1</v>
      </c>
      <c r="X46" s="2897"/>
      <c r="Y46" s="2899"/>
      <c r="Z46" s="2907">
        <f t="shared" si="105"/>
        <v>3.5000000000000001E-3</v>
      </c>
      <c r="AA46" s="2908">
        <f t="shared" si="105"/>
        <v>4.7999999999999996E-3</v>
      </c>
      <c r="AB46" s="2899">
        <f t="shared" si="105"/>
        <v>9.7999999999999997E-3</v>
      </c>
      <c r="AC46" s="2909"/>
      <c r="AD46" s="2899">
        <f t="shared" si="105"/>
        <v>4.7999999999999996E-3</v>
      </c>
    </row>
    <row r="47" spans="1:30" ht="14.25" thickTop="1"/>
    <row r="48" spans="1:30">
      <c r="A48" s="3115"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topLeftCell="A10" zoomScale="80" zoomScaleNormal="80" workbookViewId="0">
      <selection activeCell="T47" sqref="T47:T48"/>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72" t="s">
        <v>452</v>
      </c>
      <c r="C1" s="3472"/>
      <c r="D1" s="3472"/>
      <c r="E1" s="3472"/>
      <c r="F1" s="3472"/>
      <c r="G1" s="3468" t="s">
        <v>453</v>
      </c>
      <c r="H1" s="3468"/>
      <c r="I1" s="3468"/>
      <c r="J1" s="3468"/>
      <c r="K1" s="3468"/>
      <c r="L1" s="3468"/>
      <c r="N1" s="3468" t="s">
        <v>454</v>
      </c>
      <c r="O1" s="3468"/>
      <c r="P1" s="3468"/>
      <c r="Q1" s="3468"/>
      <c r="S1" s="3468" t="s">
        <v>455</v>
      </c>
      <c r="T1" s="3468"/>
      <c r="U1" s="3468"/>
      <c r="V1" s="3468"/>
      <c r="X1" s="3467" t="s">
        <v>456</v>
      </c>
      <c r="Y1" s="3468"/>
      <c r="Z1" s="3468"/>
      <c r="AA1" s="3468"/>
      <c r="AB1" s="3468"/>
      <c r="AD1" s="3467" t="s">
        <v>457</v>
      </c>
      <c r="AE1" s="3468"/>
      <c r="AF1" s="3468"/>
      <c r="AG1" s="3468"/>
      <c r="AH1" s="3468"/>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2114</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3361</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3358</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2115</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3359</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3360</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2434</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2311</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2310</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2309</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2306</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2305</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2130</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2128</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2127</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2126</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2124</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2123</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2125</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70">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2121</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70"/>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2120</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70"/>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2113</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7"/>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2111</v>
      </c>
      <c r="B25" s="2026">
        <v>439</v>
      </c>
      <c r="C25" s="2026">
        <v>327</v>
      </c>
      <c r="D25" s="2026">
        <f>C25</f>
        <v>327</v>
      </c>
      <c r="E25" s="2026">
        <v>627</v>
      </c>
      <c r="F25" s="2027">
        <v>283</v>
      </c>
      <c r="G25" s="3473">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2112</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70"/>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70"/>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7"/>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73">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70"/>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70"/>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71"/>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9">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70"/>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70"/>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71"/>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9">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70"/>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70"/>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71"/>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74">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75"/>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75"/>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6"/>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9">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70"/>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70"/>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71"/>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9">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70">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70">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71">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9">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70">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70">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71">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9">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70">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70">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71">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9">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70">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70">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71">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9">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70">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70">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71">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9">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70">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70">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71">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9">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70">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70">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71">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9">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70">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70">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71">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9">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70">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70">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71">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9">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70">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70">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71">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45695</v>
      </c>
      <c r="D1" s="1195" t="s">
        <v>603</v>
      </c>
      <c r="E1" s="1190">
        <f>'数据-取费表'!B22</f>
        <v>1</v>
      </c>
      <c r="F1" s="1195" t="s">
        <v>604</v>
      </c>
      <c r="G1" s="1191">
        <f ca="1">INDIRECT("d"&amp;$K$1)/100</f>
        <v>3.1E-2</v>
      </c>
      <c r="H1" s="1195" t="s">
        <v>634</v>
      </c>
      <c r="I1" s="1191">
        <f ca="1">F4/100</f>
        <v>1.4999999999999999E-2</v>
      </c>
      <c r="J1" s="1196">
        <f>IF(C1&gt;C13,0,MATCH(C1,C$13:C$114,-1))+IF(SUMIF(C13:C114,C1,D13:D114)=0,13,12)</f>
        <v>13</v>
      </c>
      <c r="K1" s="1196">
        <f ca="1">MATCH(E1,C3:C7,1)+IF(SUMIF(C3:C7,E1,D3:D7)=0,2,1)</f>
        <v>4</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2307</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9" t="str">
        <f>IF(项目基本情况!B9="房地产市场价值","估价结果一览表","结果表-2")</f>
        <v>结果表-2</v>
      </c>
      <c r="B1" s="3159"/>
      <c r="C1" s="3159"/>
      <c r="D1" s="3159"/>
      <c r="E1" s="3159"/>
      <c r="F1" s="3159"/>
      <c r="G1" s="3159"/>
      <c r="H1" s="3159"/>
      <c r="I1" s="3159"/>
    </row>
    <row r="2" spans="1:9" ht="30" customHeight="1" thickTop="1">
      <c r="A2" s="3160" t="s">
        <v>928</v>
      </c>
      <c r="B2" s="3160" t="s">
        <v>929</v>
      </c>
      <c r="C2" s="3160" t="s">
        <v>930</v>
      </c>
      <c r="D2" s="3160" t="str">
        <f>结果表!D116</f>
        <v>出让国有建设用地使用权价值</v>
      </c>
      <c r="E2" s="3160"/>
      <c r="F2" s="3160" t="str">
        <f>结果表!F116</f>
        <v>在建建筑物价值</v>
      </c>
      <c r="G2" s="3160"/>
      <c r="H2" s="3160" t="str">
        <f>IF(项目基本情况!B9="房地产市场价值","房地产市场价值","房地产价值")</f>
        <v>房地产价值</v>
      </c>
      <c r="I2" s="3160"/>
    </row>
    <row r="3" spans="1:9" ht="15">
      <c r="A3" s="3155"/>
      <c r="B3" s="3155"/>
      <c r="C3" s="3155"/>
      <c r="D3" s="783" t="s">
        <v>925</v>
      </c>
      <c r="E3" s="783" t="s">
        <v>931</v>
      </c>
      <c r="F3" s="783" t="s">
        <v>925</v>
      </c>
      <c r="G3" s="783" t="s">
        <v>926</v>
      </c>
      <c r="H3" s="783" t="s">
        <v>925</v>
      </c>
      <c r="I3" s="783" t="s">
        <v>926</v>
      </c>
    </row>
    <row r="4" spans="1:9" ht="15">
      <c r="A4" s="1381" t="str">
        <f>项目基本情况!S2</f>
        <v>北京市房地产</v>
      </c>
      <c r="B4" s="783">
        <f>项目基本情况!C17</f>
        <v>6647.2</v>
      </c>
      <c r="C4" s="783">
        <f>项目基本情况!C18</f>
        <v>6544.93</v>
      </c>
      <c r="D4" s="783">
        <f ca="1">结果表!D118</f>
        <v>1859</v>
      </c>
      <c r="E4" s="783">
        <f ca="1">结果表!E118</f>
        <v>2796</v>
      </c>
      <c r="F4" s="783">
        <f ca="1">结果表!F118</f>
        <v>2652</v>
      </c>
      <c r="G4" s="783">
        <f ca="1">结果表!G118</f>
        <v>3990</v>
      </c>
      <c r="H4" s="783">
        <f ca="1">结果表!H118</f>
        <v>4511</v>
      </c>
      <c r="I4" s="783">
        <f ca="1">结果表!I118</f>
        <v>6786</v>
      </c>
    </row>
    <row r="5" spans="1:9" ht="30" customHeight="1">
      <c r="A5" s="3155" t="s">
        <v>927</v>
      </c>
      <c r="B5" s="3155"/>
      <c r="C5" s="3155"/>
      <c r="D5" s="3155" t="str">
        <f ca="1">结果表!D119</f>
        <v>壹仟捌佰伍拾玖万元整</v>
      </c>
      <c r="E5" s="3155"/>
      <c r="F5" s="3155" t="str">
        <f ca="1">结果表!F119</f>
        <v>贰仟陆佰伍拾贰万元整</v>
      </c>
      <c r="G5" s="3155"/>
      <c r="H5" s="3155" t="str">
        <f ca="1">结果表!H119</f>
        <v>肆仟伍佰壹拾壹万元整</v>
      </c>
      <c r="I5" s="3155"/>
    </row>
    <row r="6" spans="1:9" ht="15.75">
      <c r="A6" s="3154" t="str">
        <f>结果表!A120</f>
        <v>估价师知悉的法定优先受偿款</v>
      </c>
      <c r="B6" s="3154"/>
      <c r="C6" s="3154"/>
      <c r="D6" s="3154">
        <f>结果表!D120</f>
        <v>0</v>
      </c>
      <c r="E6" s="3154"/>
      <c r="F6" s="3154"/>
      <c r="G6" s="3154"/>
      <c r="H6" s="3154"/>
      <c r="I6" s="3154"/>
    </row>
    <row r="7" spans="1:9" ht="15">
      <c r="A7" s="3155" t="s">
        <v>927</v>
      </c>
      <c r="B7" s="3155"/>
      <c r="C7" s="3155"/>
      <c r="D7" s="3156" t="str">
        <f>结果表!D121</f>
        <v>零元整</v>
      </c>
      <c r="E7" s="3157"/>
      <c r="F7" s="3157"/>
      <c r="G7" s="3157"/>
      <c r="H7" s="3157"/>
      <c r="I7" s="3158"/>
    </row>
    <row r="8" spans="1:9" ht="15.75">
      <c r="A8" s="3154" t="str">
        <f>结果表!A122</f>
        <v>房地产抵押价值</v>
      </c>
      <c r="B8" s="3154"/>
      <c r="C8" s="3154"/>
      <c r="D8" s="3154">
        <f ca="1">结果表!D122</f>
        <v>4511</v>
      </c>
      <c r="E8" s="3154"/>
      <c r="F8" s="3154"/>
      <c r="G8" s="3154"/>
      <c r="H8" s="3154"/>
      <c r="I8" s="3154"/>
    </row>
    <row r="9" spans="1:9" ht="15">
      <c r="A9" s="3155" t="s">
        <v>927</v>
      </c>
      <c r="B9" s="3155"/>
      <c r="C9" s="3155"/>
      <c r="D9" s="3155" t="str">
        <f ca="1">结果表!D123</f>
        <v>肆仟伍佰壹拾壹万元整</v>
      </c>
      <c r="E9" s="3155"/>
      <c r="F9" s="3155"/>
      <c r="G9" s="3155"/>
      <c r="H9" s="3155"/>
      <c r="I9" s="3155"/>
    </row>
    <row r="10" spans="1:9" ht="15.75">
      <c r="A10" s="3154" t="str">
        <f>结果表!A124</f>
        <v/>
      </c>
      <c r="B10" s="3154"/>
      <c r="C10" s="3154"/>
      <c r="D10" s="3154" t="str">
        <f>结果表!D124</f>
        <v>——</v>
      </c>
      <c r="E10" s="3154"/>
      <c r="F10" s="3154"/>
      <c r="G10" s="3154"/>
      <c r="H10" s="3154"/>
      <c r="I10" s="3154"/>
    </row>
    <row r="11" spans="1:9" ht="15">
      <c r="A11" s="3155" t="s">
        <v>927</v>
      </c>
      <c r="B11" s="3155"/>
      <c r="C11" s="3155"/>
      <c r="D11" s="3155" t="e">
        <f>结果表!D125</f>
        <v>#VALUE!</v>
      </c>
      <c r="E11" s="3155"/>
      <c r="F11" s="3155"/>
      <c r="G11" s="3155"/>
      <c r="H11" s="3155"/>
      <c r="I11" s="3155"/>
    </row>
    <row r="12" spans="1:9" ht="15.75">
      <c r="A12" s="3154" t="str">
        <f>结果表!A126</f>
        <v/>
      </c>
      <c r="B12" s="3154"/>
      <c r="C12" s="3154"/>
      <c r="D12" s="3154" t="str">
        <f>结果表!D126</f>
        <v>——</v>
      </c>
      <c r="E12" s="3154"/>
      <c r="F12" s="3154"/>
      <c r="G12" s="3154"/>
      <c r="H12" s="3154"/>
      <c r="I12" s="3154"/>
    </row>
    <row r="13" spans="1:9" ht="15.75" thickBot="1">
      <c r="A13" s="3152" t="s">
        <v>927</v>
      </c>
      <c r="B13" s="3152"/>
      <c r="C13" s="3152"/>
      <c r="D13" s="3152" t="e">
        <f>结果表!D127</f>
        <v>#VALUE!</v>
      </c>
      <c r="E13" s="3152"/>
      <c r="F13" s="3152"/>
      <c r="G13" s="3152"/>
      <c r="H13" s="3152"/>
      <c r="I13" s="3152"/>
    </row>
    <row r="14" spans="1:9" ht="15" thickTop="1">
      <c r="A14" s="3153" t="s">
        <v>932</v>
      </c>
      <c r="B14" s="3153"/>
      <c r="C14" s="3153"/>
      <c r="D14" s="3153"/>
      <c r="E14" s="3153"/>
      <c r="F14" s="3153"/>
      <c r="G14" s="3153"/>
      <c r="H14" s="3153"/>
      <c r="I14" s="3153"/>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67" t="s">
        <v>949</v>
      </c>
      <c r="B1" s="3167"/>
      <c r="C1" s="3167"/>
      <c r="D1" s="3167"/>
    </row>
    <row r="2" spans="1:4" ht="18">
      <c r="A2" s="3168" t="s">
        <v>933</v>
      </c>
      <c r="B2" s="3168"/>
      <c r="C2" s="3168"/>
      <c r="D2" s="3168"/>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8" t="s">
        <v>939</v>
      </c>
      <c r="B6" s="3168"/>
      <c r="C6" s="3168"/>
      <c r="D6" s="3168"/>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9" t="s">
        <v>942</v>
      </c>
      <c r="B11" s="3161"/>
      <c r="C11" s="3161"/>
      <c r="D11" s="3161"/>
    </row>
    <row r="12" spans="1:4" ht="15.75">
      <c r="A12" s="31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6"/>
      <c r="C12" s="3166"/>
      <c r="D12" s="3166"/>
    </row>
    <row r="13" spans="1:4" ht="30" customHeight="1">
      <c r="A13" s="31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6"/>
      <c r="C13" s="3166"/>
      <c r="D13" s="3166"/>
    </row>
    <row r="14" spans="1:4" ht="15.75" customHeight="1">
      <c r="A14" s="3161" t="str">
        <f>IF(项目基本情况!B8="抵押","4.本次评估估价师所知悉的法定优先受偿款情况说明如下：","——")</f>
        <v>4.本次评估估价师所知悉的法定优先受偿款情况说明如下：</v>
      </c>
      <c r="B14" s="3166"/>
      <c r="C14" s="3166"/>
      <c r="D14" s="3166"/>
    </row>
    <row r="15" spans="1:4" ht="42" customHeight="1">
      <c r="A15" s="31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1"/>
      <c r="C15" s="3161"/>
      <c r="D15" s="3161"/>
    </row>
    <row r="16" spans="1:4" ht="30" customHeight="1">
      <c r="A16" s="3163" t="s">
        <v>943</v>
      </c>
      <c r="B16" s="3163"/>
      <c r="C16" s="3163"/>
      <c r="D16" s="3163"/>
    </row>
    <row r="17" spans="1:4" ht="144" customHeight="1">
      <c r="A17" s="3163" t="s">
        <v>944</v>
      </c>
      <c r="B17" s="3163"/>
      <c r="C17" s="3163"/>
      <c r="D17" s="3163"/>
    </row>
    <row r="18" spans="1:4" ht="15.75" customHeight="1">
      <c r="A18" s="3161" t="str">
        <f>IF(项目基本情况!B8="抵押",结果表!K120,"——")</f>
        <v>故，本次评估不存在估价师知悉的法定优先受偿款</v>
      </c>
      <c r="B18" s="3161"/>
      <c r="C18" s="3161"/>
      <c r="D18" s="3161"/>
    </row>
    <row r="19" spans="1:4" ht="46.5" customHeight="1">
      <c r="A19" s="31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57.75" customHeight="1">
      <c r="A20" s="31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1"/>
      <c r="C20" s="3161"/>
      <c r="D20" s="3161"/>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4"/>
      <c r="C21" s="3164"/>
      <c r="D21" s="3164"/>
    </row>
    <row r="22" spans="1:4" ht="18.75" customHeight="1">
      <c r="A22" s="3165" t="s">
        <v>945</v>
      </c>
      <c r="B22" s="3165"/>
      <c r="C22" s="3165"/>
      <c r="D22" s="3165"/>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62">
        <v>42551</v>
      </c>
      <c r="D31" s="31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5" t="s">
        <v>956</v>
      </c>
      <c r="B15" s="3170" t="s">
        <v>109</v>
      </c>
      <c r="C15" s="3171"/>
    </row>
    <row r="16" spans="1:7" ht="13.5">
      <c r="A16" s="3176"/>
      <c r="B16" s="3170" t="s">
        <v>42</v>
      </c>
      <c r="C16" s="3171"/>
    </row>
    <row r="17" spans="1:3" ht="13.5">
      <c r="A17" s="3176"/>
      <c r="B17" s="3173" t="s">
        <v>957</v>
      </c>
      <c r="C17" s="1407" t="s">
        <v>956</v>
      </c>
    </row>
    <row r="18" spans="1:3" ht="13.5">
      <c r="A18" s="3176"/>
      <c r="B18" s="3173"/>
      <c r="C18" s="1407" t="s">
        <v>958</v>
      </c>
    </row>
    <row r="19" spans="1:3" ht="13.5">
      <c r="A19" s="3176"/>
      <c r="B19" s="3173"/>
      <c r="C19" s="1407" t="s">
        <v>959</v>
      </c>
    </row>
    <row r="20" spans="1:3" ht="13.5">
      <c r="A20" s="3177"/>
      <c r="B20" s="3172" t="s">
        <v>960</v>
      </c>
      <c r="C20" s="3171"/>
    </row>
    <row r="21" spans="1:3" ht="13.5">
      <c r="A21" s="1408" t="s">
        <v>961</v>
      </c>
      <c r="B21" s="1409"/>
      <c r="C21" s="1410"/>
    </row>
    <row r="22" spans="1:3" ht="13.5">
      <c r="A22" s="3174" t="s">
        <v>962</v>
      </c>
      <c r="B22" s="3172" t="s">
        <v>963</v>
      </c>
      <c r="C22" s="3171"/>
    </row>
    <row r="23" spans="1:3" ht="13.5">
      <c r="A23" s="3174"/>
      <c r="B23" s="3172" t="s">
        <v>964</v>
      </c>
      <c r="C23" s="3171"/>
    </row>
    <row r="24" spans="1:3" ht="13.5">
      <c r="A24" s="3174"/>
      <c r="B24" s="3172" t="s">
        <v>965</v>
      </c>
      <c r="C24" s="3171"/>
    </row>
    <row r="25" spans="1:3" ht="13.5">
      <c r="A25" s="3174"/>
      <c r="B25" s="3173" t="s">
        <v>966</v>
      </c>
      <c r="C25" s="1407" t="s">
        <v>967</v>
      </c>
    </row>
    <row r="26" spans="1:3" ht="13.5">
      <c r="A26" s="3174"/>
      <c r="B26" s="3173"/>
      <c r="C26" s="1407" t="s">
        <v>968</v>
      </c>
    </row>
    <row r="27" spans="1:3" ht="13.5">
      <c r="A27" s="3174"/>
      <c r="B27" s="3173"/>
      <c r="C27" s="1407" t="s">
        <v>969</v>
      </c>
    </row>
    <row r="28" spans="1:3" ht="13.5">
      <c r="A28" s="3174"/>
      <c r="B28" s="3173"/>
      <c r="C28" s="1407" t="s">
        <v>970</v>
      </c>
    </row>
    <row r="29" spans="1:3" ht="13.5">
      <c r="A29" s="3174"/>
      <c r="B29" s="3173"/>
      <c r="C29" s="1407" t="s">
        <v>971</v>
      </c>
    </row>
    <row r="30" spans="1:3" ht="13.5">
      <c r="A30" s="3174"/>
      <c r="B30" s="3173"/>
      <c r="C30" s="1407" t="s">
        <v>972</v>
      </c>
    </row>
    <row r="31" spans="1:3" ht="13.5">
      <c r="A31" s="3174"/>
      <c r="B31" s="3173"/>
      <c r="C31" s="1407" t="s">
        <v>973</v>
      </c>
    </row>
    <row r="32" spans="1:3" ht="13.5">
      <c r="A32" s="3174"/>
      <c r="B32" s="3173"/>
      <c r="C32" s="1407" t="s">
        <v>974</v>
      </c>
    </row>
    <row r="33" spans="1:3" ht="13.5">
      <c r="A33" s="3174"/>
      <c r="B33" s="3173"/>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2139</v>
      </c>
      <c r="B2" s="2134">
        <f ca="1">TODAY()</f>
        <v>45696</v>
      </c>
      <c r="C2" s="2135" t="s">
        <v>2140</v>
      </c>
      <c r="D2" s="2135"/>
      <c r="E2" s="2135"/>
      <c r="F2" s="2131"/>
      <c r="G2" s="2131"/>
      <c r="H2" s="2131"/>
    </row>
    <row r="3" spans="1:8" ht="24" customHeight="1">
      <c r="A3" s="2136" t="s">
        <v>2141</v>
      </c>
      <c r="B3" s="1197" t="s">
        <v>2142</v>
      </c>
      <c r="C3" s="1197" t="s">
        <v>2143</v>
      </c>
      <c r="D3" s="2137" t="s">
        <v>2144</v>
      </c>
      <c r="E3" s="2138" t="s">
        <v>2145</v>
      </c>
      <c r="F3" s="1197" t="s">
        <v>2146</v>
      </c>
      <c r="G3" s="1197" t="s">
        <v>2143</v>
      </c>
      <c r="H3" s="2137" t="s">
        <v>2147</v>
      </c>
    </row>
    <row r="4" spans="1:8" ht="24" customHeight="1">
      <c r="A4" s="1197" t="s">
        <v>2148</v>
      </c>
      <c r="B4" s="1197">
        <f ca="1">IF(C4&lt;B2,"已过期",1119970066)</f>
        <v>1119970066</v>
      </c>
      <c r="C4" s="2139">
        <v>45937</v>
      </c>
      <c r="D4" s="2140" t="str">
        <f ca="1">A4&amp;"（注册号："&amp;B4&amp;"）"</f>
        <v>梁津（注册号：1119970066）</v>
      </c>
      <c r="E4" s="2141" t="s">
        <v>2148</v>
      </c>
      <c r="F4" s="1197">
        <f ca="1">IF(G4&lt;B2,"已过期",96010014)</f>
        <v>96010014</v>
      </c>
      <c r="G4" s="2142">
        <v>47118</v>
      </c>
      <c r="H4" s="2143" t="str">
        <f ca="1">E4&amp;"（注册号："&amp;F4&amp;"）"</f>
        <v>梁津（注册号：96010014）</v>
      </c>
    </row>
    <row r="5" spans="1:8" ht="24" customHeight="1">
      <c r="A5" s="1197" t="s">
        <v>2149</v>
      </c>
      <c r="B5" s="1197">
        <f ca="1">IF(C5&lt;B2,"已过期",1119970111)</f>
        <v>1119970111</v>
      </c>
      <c r="C5" s="2139">
        <v>45937</v>
      </c>
      <c r="D5" s="2140" t="str">
        <f t="shared" ref="D5:D15" ca="1" si="0">A5&amp;"（注册号："&amp;B5&amp;"）"</f>
        <v>叶凌（注册号：1119970111）</v>
      </c>
      <c r="E5" s="2141" t="s">
        <v>2149</v>
      </c>
      <c r="F5" s="1197">
        <f ca="1">IF(G5&lt;B2,"已过期",94010078)</f>
        <v>94010078</v>
      </c>
      <c r="G5" s="2142">
        <v>46387</v>
      </c>
      <c r="H5" s="2143" t="str">
        <f t="shared" ref="H5:H16" ca="1" si="1">E5&amp;"（注册号："&amp;F5&amp;"）"</f>
        <v>叶凌（注册号：94010078）</v>
      </c>
    </row>
    <row r="6" spans="1:8" ht="24" customHeight="1">
      <c r="A6" s="1197" t="s">
        <v>2150</v>
      </c>
      <c r="B6" s="1197" t="str">
        <f ca="1">IF(C6&lt;B2,"已过期",1120050019)</f>
        <v>已过期</v>
      </c>
      <c r="C6" s="2139">
        <v>45410</v>
      </c>
      <c r="D6" s="2140" t="str">
        <f t="shared" ca="1" si="0"/>
        <v>王鹏（注册号：已过期）</v>
      </c>
      <c r="E6" s="2141" t="s">
        <v>2150</v>
      </c>
      <c r="F6" s="1197">
        <f ca="1">IF(G6&lt;B2,"已过期",2002110030)</f>
        <v>2002110030</v>
      </c>
      <c r="G6" s="2142">
        <v>46387</v>
      </c>
      <c r="H6" s="2143" t="str">
        <f t="shared" ca="1" si="1"/>
        <v>王鹏（注册号：2002110030）</v>
      </c>
    </row>
    <row r="7" spans="1:8" ht="24" customHeight="1">
      <c r="A7" s="1197" t="s">
        <v>2151</v>
      </c>
      <c r="B7" s="1197">
        <f ca="1">IF(C7&lt;B2,"已过期",1120000080)</f>
        <v>1120000080</v>
      </c>
      <c r="C7" s="2139">
        <v>45937</v>
      </c>
      <c r="D7" s="2140" t="str">
        <f t="shared" ca="1" si="0"/>
        <v>欧红伟（注册号：1120000080）</v>
      </c>
      <c r="E7" s="2141" t="s">
        <v>2151</v>
      </c>
      <c r="F7" s="1197">
        <f ca="1">IF(G7&lt;B2,"已过期",2000110082)</f>
        <v>2000110082</v>
      </c>
      <c r="G7" s="2142">
        <v>46387</v>
      </c>
      <c r="H7" s="2143" t="str">
        <f t="shared" ca="1" si="1"/>
        <v>欧红伟（注册号：2000110082）</v>
      </c>
    </row>
    <row r="8" spans="1:8" ht="24" customHeight="1">
      <c r="A8" s="1197" t="s">
        <v>2152</v>
      </c>
      <c r="B8" s="1197">
        <f ca="1">IF(C8&lt;B2,"已过期",1419970001)</f>
        <v>1419970001</v>
      </c>
      <c r="C8" s="2139">
        <v>45937</v>
      </c>
      <c r="D8" s="2140" t="str">
        <f t="shared" ca="1" si="0"/>
        <v>吴薇（注册号：1419970001）</v>
      </c>
      <c r="E8" s="2141" t="s">
        <v>2152</v>
      </c>
      <c r="F8" s="1197">
        <f ca="1">IF(G8&lt;B2,"已过期",2002110125)</f>
        <v>2002110125</v>
      </c>
      <c r="G8" s="2142">
        <v>47118</v>
      </c>
      <c r="H8" s="2143" t="str">
        <f t="shared" ca="1" si="1"/>
        <v>吴薇（注册号：2002110125）</v>
      </c>
    </row>
    <row r="9" spans="1:8" ht="24" customHeight="1">
      <c r="A9" s="1197" t="s">
        <v>2153</v>
      </c>
      <c r="B9" s="1197" t="str">
        <f ca="1">IF(C9&lt;B2,"已过期",1120060040)</f>
        <v>已过期</v>
      </c>
      <c r="C9" s="2144">
        <v>45592</v>
      </c>
      <c r="D9" s="2140" t="str">
        <f t="shared" ca="1" si="0"/>
        <v>陈颖（注册号：已过期）</v>
      </c>
      <c r="E9" s="2141" t="s">
        <v>2153</v>
      </c>
      <c r="F9" s="1197">
        <f ca="1">IF(G9&lt;B2,"已过期",2004110096)</f>
        <v>2004110096</v>
      </c>
      <c r="G9" s="2142">
        <v>47118</v>
      </c>
      <c r="H9" s="2143" t="str">
        <f t="shared" ca="1" si="1"/>
        <v>陈颖（注册号：2004110096）</v>
      </c>
    </row>
    <row r="10" spans="1:8" ht="24" customHeight="1">
      <c r="A10" s="1197" t="s">
        <v>2154</v>
      </c>
      <c r="B10" s="1197">
        <f ca="1">IF(C10&lt;B2,"已过期",1120100036)</f>
        <v>1120100036</v>
      </c>
      <c r="C10" s="2144">
        <v>45752</v>
      </c>
      <c r="D10" s="2140" t="str">
        <f t="shared" ca="1" si="0"/>
        <v>崔锴（注册号：1120100036）</v>
      </c>
      <c r="E10" s="2141" t="s">
        <v>2154</v>
      </c>
      <c r="F10" s="1197">
        <f ca="1">IF(G10&lt;B2,"已过期",2010110070)</f>
        <v>2010110070</v>
      </c>
      <c r="G10" s="2142">
        <v>47907</v>
      </c>
      <c r="H10" s="2143" t="str">
        <f t="shared" ca="1" si="1"/>
        <v>崔锴（注册号：2010110070）</v>
      </c>
    </row>
    <row r="11" spans="1:8" ht="24" customHeight="1">
      <c r="A11" s="1197" t="s">
        <v>2155</v>
      </c>
      <c r="B11" s="1197">
        <f ca="1">IF(C11&lt;B2,"已过期",1120070131)</f>
        <v>1120070131</v>
      </c>
      <c r="C11" s="2139">
        <v>45937</v>
      </c>
      <c r="D11" s="2140" t="str">
        <f t="shared" ca="1" si="0"/>
        <v>郑燚（注册号：1120070131）</v>
      </c>
      <c r="E11" s="2141" t="s">
        <v>2155</v>
      </c>
      <c r="F11" s="1197">
        <f ca="1">IF(G11&lt;B2,"已过期",2014110011)</f>
        <v>2014110011</v>
      </c>
      <c r="G11" s="2142">
        <v>49302</v>
      </c>
      <c r="H11" s="2143" t="str">
        <f t="shared" ca="1" si="1"/>
        <v>郑燚（注册号：2014110011）</v>
      </c>
    </row>
    <row r="12" spans="1:8" ht="24" customHeight="1">
      <c r="A12" s="1197" t="s">
        <v>2156</v>
      </c>
      <c r="B12" s="1197">
        <f ca="1">IF(C12&lt;B2,"已过期",1120040230)</f>
        <v>1120040230</v>
      </c>
      <c r="C12" s="2144">
        <v>45937</v>
      </c>
      <c r="D12" s="2140" t="str">
        <f t="shared" ca="1" si="0"/>
        <v>苏海（注册号：1120040230）</v>
      </c>
      <c r="E12" s="2141" t="s">
        <v>2156</v>
      </c>
      <c r="F12" s="1197">
        <f ca="1">IF(G12&lt;B2,"已过期",98030020)</f>
        <v>98030020</v>
      </c>
      <c r="G12" s="2142">
        <v>47118</v>
      </c>
      <c r="H12" s="2143" t="str">
        <f t="shared" ca="1" si="1"/>
        <v>苏海（注册号：98030020）</v>
      </c>
    </row>
    <row r="13" spans="1:8" ht="24" customHeight="1">
      <c r="A13" s="1197" t="s">
        <v>2157</v>
      </c>
      <c r="B13" s="1197" t="str">
        <f ca="1">IF(C13&lt;B2,"已过期",1120020033)</f>
        <v>已过期</v>
      </c>
      <c r="C13" s="2139">
        <v>45375</v>
      </c>
      <c r="D13" s="2140" t="str">
        <f t="shared" ca="1" si="0"/>
        <v>刘敬东（注册号：已过期）</v>
      </c>
      <c r="E13" s="2141" t="s">
        <v>2157</v>
      </c>
      <c r="F13" s="1197">
        <f ca="1">IF(G13&lt;B2,"已过期",2000110137)</f>
        <v>2000110137</v>
      </c>
      <c r="G13" s="2142">
        <v>46387</v>
      </c>
      <c r="H13" s="2143" t="str">
        <f t="shared" ca="1" si="1"/>
        <v>刘敬东（注册号：2000110137）</v>
      </c>
    </row>
    <row r="14" spans="1:8" ht="24" customHeight="1">
      <c r="A14" s="1197" t="s">
        <v>2158</v>
      </c>
      <c r="B14" s="1197" t="str">
        <f ca="1">IF(C14&lt;B2,"已过期",1119980106)</f>
        <v>已过期</v>
      </c>
      <c r="C14" s="2144">
        <v>44969</v>
      </c>
      <c r="D14" s="2140" t="str">
        <f t="shared" ca="1" si="0"/>
        <v>刘俊财（注册号：已过期）</v>
      </c>
      <c r="E14" s="2141" t="s">
        <v>2158</v>
      </c>
      <c r="F14" s="1197">
        <f ca="1">IF(G14&lt;B2,"已过期",96010063)</f>
        <v>96010063</v>
      </c>
      <c r="G14" s="2142">
        <v>47483</v>
      </c>
      <c r="H14" s="2143" t="str">
        <f t="shared" ca="1" si="1"/>
        <v>刘俊财（注册号：96010063）</v>
      </c>
    </row>
    <row r="15" spans="1:8" ht="24" customHeight="1">
      <c r="A15" s="1197" t="s">
        <v>2435</v>
      </c>
      <c r="B15" s="1197">
        <v>1120210056</v>
      </c>
      <c r="C15" s="2144">
        <v>45410</v>
      </c>
      <c r="D15" s="2140" t="str">
        <f t="shared" si="0"/>
        <v>宁小鳗（注册号：1120210056）</v>
      </c>
      <c r="E15" s="2141" t="s">
        <v>2159</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8" t="s">
        <v>2160</v>
      </c>
      <c r="B17" s="3178"/>
      <c r="C17" s="3178"/>
      <c r="D17" s="3178"/>
      <c r="E17" s="3178"/>
      <c r="F17" s="3178"/>
      <c r="G17" s="3178"/>
      <c r="H17" s="3178"/>
    </row>
    <row r="18" spans="1:8" ht="24" customHeight="1">
      <c r="A18" s="3179" t="s">
        <v>2161</v>
      </c>
      <c r="B18" s="3179"/>
      <c r="C18" s="3179"/>
      <c r="D18" s="2137"/>
      <c r="E18" s="3180" t="s">
        <v>2162</v>
      </c>
      <c r="F18" s="3179"/>
      <c r="G18" s="3179"/>
    </row>
    <row r="19" spans="1:8" s="2147" customFormat="1" ht="24" customHeight="1">
      <c r="A19" s="2146" t="s">
        <v>2163</v>
      </c>
      <c r="B19" s="1197" t="s">
        <v>2164</v>
      </c>
      <c r="C19" s="1197" t="s">
        <v>2143</v>
      </c>
      <c r="D19" s="2137"/>
      <c r="E19" s="2141" t="s">
        <v>2163</v>
      </c>
      <c r="F19" s="1197" t="s">
        <v>2164</v>
      </c>
      <c r="G19" s="1197" t="s">
        <v>2143</v>
      </c>
    </row>
    <row r="20" spans="1:8" s="2147" customFormat="1" ht="24" customHeight="1">
      <c r="A20" s="2148" t="s">
        <v>2165</v>
      </c>
      <c r="B20" s="2148" t="s">
        <v>2166</v>
      </c>
      <c r="C20" s="2142">
        <v>45898</v>
      </c>
      <c r="D20" s="2149"/>
      <c r="E20" s="2150" t="s">
        <v>2167</v>
      </c>
      <c r="F20" s="2153" t="s">
        <v>2436</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位置租金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2025-02-08T09:31:10Z</dcterms:modified>
</cp:coreProperties>
</file>