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094北京市门头沟区石龙经济开发区上园路3号1幢工业\"/>
    </mc:Choice>
  </mc:AlternateContent>
  <xr:revisionPtr revIDLastSave="0" documentId="13_ncr:1_{C0F2ED29-F4D4-4379-98C5-CE7FDC878225}"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租金"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区片价!$J$1:$J$21</definedName>
    <definedName name="二级分类" localSheetId="36">[2]修正!$C$19:$C$51</definedName>
    <definedName name="二级分类">修正!$C$19:$C$51</definedName>
    <definedName name="法定最高年限" localSheetId="36">[2]定义!$G$1:$G$6</definedName>
    <definedName name="法定最高年限">定义!$G$1:$G$6</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区片价!$Q$1:$Q$51</definedName>
    <definedName name="居住社区成熟度" localSheetId="36">[2]定义!$K$1:$K$6</definedName>
    <definedName name="居住社区成熟度">定义!$K$1:$K$6</definedName>
    <definedName name="类别" localSheetId="36">[2]定义!$J$1:$J$3</definedName>
    <definedName name="类别">定义!$J$1:$J$3</definedName>
    <definedName name="临街状况" localSheetId="36">[2]定义!$T$1:$T$5</definedName>
    <definedName name="临街状况">定义!$T$1:$T$5</definedName>
    <definedName name="六级">区片价!$N$1:$N$64</definedName>
    <definedName name="内部装修维护情况" localSheetId="36">[2]定义!$U$1:$U$6</definedName>
    <definedName name="内部装修维护情况">定义!$U$1:$U$6</definedName>
    <definedName name="七级">区片价!$O$1:$O$45</definedName>
    <definedName name="七通一平" localSheetId="36">[2]修正!$A$8:$A$16</definedName>
    <definedName name="七通一平">修正!$A$8:$A$16</definedName>
    <definedName name="区域土地利用方向" localSheetId="36">[2]定义!$P$1:$P$6</definedName>
    <definedName name="区域土地利用方向">定义!$P$1:$P$6</definedName>
    <definedName name="三级">区片价!$K$1:$K$26</definedName>
    <definedName name="商业层高" localSheetId="36">'[2]比较法-商业'!$B$116:$M$116</definedName>
    <definedName name="商业层高">'比较法-商业'!$B$116:$M$116</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[2]修正!$C$71:$C$138</definedName>
    <definedName name="商业街名称">修正!$C$71:$C$138</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'[2]土地比较法-住宅、综合'!$A$72:$M$72</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'[2]土地比较法-住宅、综合'!$B$105:$M$105</definedName>
    <definedName name="套综道路等级">'土地比较法-住宅、综合'!$B$105:$M$105</definedName>
    <definedName name="套综工程地质条件" localSheetId="36">'[2]土地比较法-住宅、综合'!$B$124:$M$124</definedName>
    <definedName name="套综工程地质条件">'土地比较法-住宅、综合'!$B$124:$M$124</definedName>
    <definedName name="套综交易情况" localSheetId="36">'[2]土地比较法-住宅、综合'!$A$72:$M$72</definedName>
    <definedName name="套综交易情况">'土地比较法-住宅、综合'!$A$72:$M$72</definedName>
    <definedName name="套综临街宽度及深度" localSheetId="36">'[2]土地比较法-住宅、综合'!$B$120:$M$120</definedName>
    <definedName name="套综临街宽度及深度">'土地比较法-住宅、综合'!$B$120:$M$120</definedName>
    <definedName name="套综土地级别" localSheetId="36">'[2]土地比较法-住宅、综合'!$B$107:$M$107</definedName>
    <definedName name="套综土地级别">'土地比较法-住宅、综合'!$B$107:$M$107</definedName>
    <definedName name="套综用途" localSheetId="36">'[2]土地比较法-住宅、综合'!$B$74:$M$74</definedName>
    <definedName name="套综用途">'土地比较法-住宅、综合'!$B$74:$M$74</definedName>
    <definedName name="套综宗地内开发程度" localSheetId="36">'[2]土地比较法-住宅、综合'!$B$122:$M$122</definedName>
    <definedName name="套综宗地内开发程度">'土地比较法-住宅、综合'!$B$122:$M$122</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36">[2]定义!$C$1:$C$14</definedName>
    <definedName name="土地级别">定义!$C$1:$C$14</definedName>
    <definedName name="土地利用方向">定义!$P$1:$P$6</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区片价!$M$1:$M$41</definedName>
    <definedName name="项目类型" localSheetId="24">'[1]数据-汇总表'!$C$17:$C$26</definedName>
    <definedName name="项目类型" localSheetId="36">'[2]数据-汇总表'!$C$17:$C$26</definedName>
    <definedName name="项目类型">'数据-汇总表'!$C$17:$C$26</definedName>
    <definedName name="写字楼等级" localSheetId="36">'[2]比较法-办公'!$B$113:$M$113</definedName>
    <definedName name="写字楼等级">'比较法-办公'!$B$113:$M$113</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[2]定义!$F$1:$F$12</definedName>
    <definedName name="主用途">定义!$F$1:$F$12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'比较法-住宅'!$B$120:$M$120</definedName>
    <definedName name="注册房地产估价师" localSheetId="36">[2]估价师及机构信息!$A$3:$A$16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G84" i="43" l="1"/>
  <c r="G85" i="43"/>
  <c r="G86" i="43"/>
  <c r="G87" i="43"/>
  <c r="G88" i="43"/>
  <c r="G89" i="43"/>
  <c r="G90" i="43"/>
  <c r="G83" i="43"/>
  <c r="D33" i="43"/>
  <c r="Y6" i="1"/>
  <c r="N6" i="1"/>
  <c r="F19" i="6" l="1"/>
  <c r="C19" i="6"/>
  <c r="D60" i="78"/>
  <c r="C60" i="78"/>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U34" i="35"/>
  <c r="F36" i="34"/>
  <c r="J35" i="34"/>
  <c r="W9" i="34"/>
  <c r="U34" i="34"/>
  <c r="H39" i="33"/>
  <c r="AB39" i="33" s="1"/>
  <c r="U33" i="33"/>
  <c r="U35" i="33"/>
  <c r="S40" i="33"/>
  <c r="W33" i="33"/>
  <c r="W39"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H14" i="33"/>
  <c r="U14" i="33" s="1"/>
  <c r="F14" i="33"/>
  <c r="AA14" i="33" s="1"/>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J14" i="37"/>
  <c r="J27" i="37"/>
  <c r="AC27" i="37"/>
  <c r="AA44" i="33"/>
  <c r="U46" i="33"/>
  <c r="J36" i="37"/>
  <c r="AC36" i="37" s="1"/>
  <c r="J10" i="36"/>
  <c r="AC10" i="36" s="1"/>
  <c r="AB30" i="21"/>
  <c r="W31" i="34"/>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39" i="37"/>
  <c r="U26" i="37"/>
  <c r="W47"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55" i="3"/>
  <c r="AZ168" i="3"/>
  <c r="AZ105"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6" i="3"/>
  <c r="AZ500" i="3"/>
  <c r="BA16" i="3"/>
  <c r="BL303" i="3"/>
  <c r="G304" i="3"/>
  <c r="BA306" i="3"/>
  <c r="BL307" i="3"/>
  <c r="G308" i="3"/>
  <c r="BA310" i="3"/>
  <c r="AZ310" i="3" s="1"/>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259"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U12" i="39" s="1"/>
  <c r="F39" i="40"/>
  <c r="BA14" i="3"/>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A24" i="51"/>
  <c r="B18" i="72"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AB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AA19" i="33"/>
  <c r="H19" i="33"/>
  <c r="U19" i="33" s="1"/>
  <c r="G81" i="33"/>
  <c r="H17" i="33"/>
  <c r="U17" i="33" s="1"/>
  <c r="F17" i="33"/>
  <c r="S17" i="33" s="1"/>
  <c r="W17" i="33"/>
  <c r="S37" i="21"/>
  <c r="AB15" i="21"/>
  <c r="J23" i="21"/>
  <c r="F85" i="21"/>
  <c r="G85" i="21" s="1"/>
  <c r="H23" i="21"/>
  <c r="S13" i="21"/>
  <c r="AP7" i="1"/>
  <c r="AB45" i="21"/>
  <c r="AB9" i="21"/>
  <c r="AA32" i="21"/>
  <c r="S32" i="21"/>
  <c r="W9" i="21"/>
  <c r="AB32" i="21"/>
  <c r="U32" i="21"/>
  <c r="U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7" i="73"/>
  <c r="C76" i="67"/>
  <c r="F42" i="67"/>
  <c r="B12" i="76"/>
  <c r="AO13" i="1"/>
  <c r="F13" i="67"/>
  <c r="L48" i="67"/>
  <c r="F6" i="67"/>
  <c r="F36" i="67"/>
  <c r="B8" i="76"/>
  <c r="M29" i="67"/>
  <c r="F4" i="73"/>
  <c r="M9" i="67"/>
  <c r="F16" i="67"/>
  <c r="F38" i="67"/>
  <c r="E11" i="76"/>
  <c r="E9" i="76"/>
  <c r="E8" i="76"/>
  <c r="D6" i="73"/>
  <c r="B13" i="76"/>
  <c r="M24" i="67"/>
  <c r="B9" i="76"/>
  <c r="M23" i="67"/>
  <c r="E12" i="76"/>
  <c r="E2" i="68"/>
  <c r="E13" i="76"/>
  <c r="E7" i="76"/>
  <c r="B10" i="76"/>
  <c r="B7" i="76"/>
  <c r="M23" i="15"/>
  <c r="F37" i="67"/>
  <c r="M8" i="15"/>
  <c r="E10" i="76"/>
  <c r="F6" i="73"/>
  <c r="F26" i="67"/>
  <c r="F6" i="15"/>
  <c r="F9" i="67"/>
  <c r="L47" i="67"/>
  <c r="M22" i="67"/>
  <c r="E2" i="69"/>
  <c r="M28" i="67"/>
  <c r="J15" i="67"/>
  <c r="M28" i="15"/>
  <c r="F40" i="67"/>
  <c r="M6" i="15"/>
  <c r="F20" i="31"/>
  <c r="F5" i="73"/>
  <c r="M8" i="67"/>
  <c r="F3" i="73"/>
  <c r="J57" i="9" l="1"/>
  <c r="J59" i="9" s="1"/>
  <c r="J61" i="9" s="1"/>
  <c r="D68" i="9"/>
  <c r="F30" i="69"/>
  <c r="F48" i="69" s="1"/>
  <c r="F31" i="12"/>
  <c r="F32" i="67"/>
  <c r="F60" i="67" s="1"/>
  <c r="M18" i="15"/>
  <c r="M18" i="67"/>
  <c r="F30" i="11"/>
  <c r="C48" i="11" s="1"/>
  <c r="F28" i="15"/>
  <c r="F28" i="67"/>
  <c r="F54" i="9"/>
  <c r="F32" i="15"/>
  <c r="F60" i="15" s="1"/>
  <c r="F52" i="9"/>
  <c r="F30" i="68"/>
  <c r="F48" i="68" s="1"/>
  <c r="C40" i="68"/>
  <c r="C21" i="68"/>
  <c r="E19" i="68"/>
  <c r="G29" i="6"/>
  <c r="C19" i="39"/>
  <c r="B57" i="43"/>
  <c r="B79" i="43"/>
  <c r="B77" i="43"/>
  <c r="B67" i="43"/>
  <c r="B56" i="43"/>
  <c r="B68" i="43"/>
  <c r="W23" i="37"/>
  <c r="AB19" i="33"/>
  <c r="AC32" i="39"/>
  <c r="W27" i="33"/>
  <c r="U36" i="33"/>
  <c r="AB36" i="33"/>
  <c r="AA23" i="21"/>
  <c r="AC15" i="21"/>
  <c r="AA39" i="39"/>
  <c r="AB12" i="39"/>
  <c r="AA30" i="40"/>
  <c r="S27" i="40"/>
  <c r="U27" i="40"/>
  <c r="F29" i="6"/>
  <c r="AZ391" i="3"/>
  <c r="AZ364" i="3"/>
  <c r="AZ306" i="3"/>
  <c r="AA11" i="39"/>
  <c r="AZ571" i="3"/>
  <c r="AZ579" i="3"/>
  <c r="AZ494" i="3"/>
  <c r="AZ510" i="3"/>
  <c r="AZ546" i="3"/>
  <c r="AA14" i="40"/>
  <c r="S14" i="40"/>
  <c r="S14" i="37"/>
  <c r="AA44" i="34"/>
  <c r="W28" i="34"/>
  <c r="AC28" i="34"/>
  <c r="S25" i="21"/>
  <c r="AA25" i="21"/>
  <c r="AZ537" i="3"/>
  <c r="D6" i="52"/>
  <c r="S36" i="33"/>
  <c r="W33" i="34"/>
  <c r="AA40" i="34"/>
  <c r="AZ14" i="3"/>
  <c r="AZ334" i="3"/>
  <c r="AZ372" i="3"/>
  <c r="AZ347" i="3"/>
  <c r="AZ344" i="3"/>
  <c r="AZ336" i="3"/>
  <c r="AZ305" i="3"/>
  <c r="AZ557" i="3"/>
  <c r="AZ503" i="3"/>
  <c r="AZ513" i="3"/>
  <c r="AZ575" i="3"/>
  <c r="AZ552" i="3"/>
  <c r="AC31" i="40"/>
  <c r="W31" i="40"/>
  <c r="S14" i="34"/>
  <c r="AA14" i="34"/>
  <c r="J12" i="36"/>
  <c r="H12" i="36"/>
  <c r="BL550" i="3"/>
  <c r="G585" i="3"/>
  <c r="BL587" i="3"/>
  <c r="AZ587" i="3" s="1"/>
  <c r="BL586" i="3"/>
  <c r="AZ586" i="3" s="1"/>
  <c r="G552" i="3"/>
  <c r="AZ458" i="3"/>
  <c r="AZ462" i="3"/>
  <c r="AZ313" i="3"/>
  <c r="AZ394" i="3"/>
  <c r="AZ519" i="3"/>
  <c r="AZ531" i="3"/>
  <c r="AZ573" i="3"/>
  <c r="AZ583" i="3"/>
  <c r="AZ568" i="3"/>
  <c r="AZ576" i="3"/>
  <c r="H26" i="33"/>
  <c r="C15" i="39"/>
  <c r="S34" i="39"/>
  <c r="F26" i="33"/>
  <c r="S31" i="35"/>
  <c r="F39" i="37"/>
  <c r="S39" i="37" s="1"/>
  <c r="U30" i="37"/>
  <c r="J44" i="39"/>
  <c r="G587" i="3"/>
  <c r="J36" i="35"/>
  <c r="AC36" i="35" s="1"/>
  <c r="AZ402" i="3"/>
  <c r="AZ406" i="3"/>
  <c r="AZ487" i="3"/>
  <c r="BL585" i="3"/>
  <c r="AZ585" i="3" s="1"/>
  <c r="B75" i="43"/>
  <c r="J24" i="36"/>
  <c r="H24" i="36"/>
  <c r="AZ451" i="3"/>
  <c r="AZ461" i="3"/>
  <c r="AZ469" i="3"/>
  <c r="AZ483"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66" i="3"/>
  <c r="AZ366" i="3" s="1"/>
  <c r="BL375" i="3"/>
  <c r="AZ375" i="3" s="1"/>
  <c r="BL385" i="3"/>
  <c r="BA396" i="3"/>
  <c r="BL217" i="3"/>
  <c r="BL232" i="3"/>
  <c r="BA238" i="3"/>
  <c r="BL248" i="3"/>
  <c r="BA269" i="3"/>
  <c r="AZ269" i="3" s="1"/>
  <c r="BA276" i="3"/>
  <c r="AZ284" i="3"/>
  <c r="BL286" i="3"/>
  <c r="BA551" i="3"/>
  <c r="AZ551" i="3" s="1"/>
  <c r="BA550" i="3"/>
  <c r="AZ550" i="3" s="1"/>
  <c r="BL548" i="3"/>
  <c r="AZ548"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L365" i="3"/>
  <c r="AZ365" i="3" s="1"/>
  <c r="BA368" i="3"/>
  <c r="BL368" i="3"/>
  <c r="BA374" i="3"/>
  <c r="AZ374" i="3" s="1"/>
  <c r="BA388" i="3"/>
  <c r="AZ388" i="3" s="1"/>
  <c r="BA209" i="3"/>
  <c r="BL211" i="3"/>
  <c r="BA221" i="3"/>
  <c r="BA228" i="3"/>
  <c r="AZ228" i="3" s="1"/>
  <c r="BA250" i="3"/>
  <c r="AZ250" i="3" s="1"/>
  <c r="BL261" i="3"/>
  <c r="BA267" i="3"/>
  <c r="AZ267" i="3" s="1"/>
  <c r="BA274" i="3"/>
  <c r="AZ274" i="3" s="1"/>
  <c r="BL274" i="3"/>
  <c r="BA279" i="3"/>
  <c r="BA288" i="3"/>
  <c r="BA116" i="3"/>
  <c r="AZ116" i="3" s="1"/>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G486" i="3"/>
  <c r="G488" i="3"/>
  <c r="BL317" i="3"/>
  <c r="G318" i="3"/>
  <c r="BA349" i="3"/>
  <c r="AZ349" i="3" s="1"/>
  <c r="BA353" i="3"/>
  <c r="AZ353" i="3" s="1"/>
  <c r="BL353" i="3"/>
  <c r="BA358" i="3"/>
  <c r="AZ358" i="3" s="1"/>
  <c r="BL395" i="3"/>
  <c r="BA217" i="3"/>
  <c r="AZ217" i="3" s="1"/>
  <c r="BL222" i="3"/>
  <c r="G223" i="3"/>
  <c r="BA230" i="3"/>
  <c r="AZ230" i="3" s="1"/>
  <c r="G234" i="3"/>
  <c r="BA236" i="3"/>
  <c r="BA240" i="3"/>
  <c r="BL242" i="3"/>
  <c r="G243" i="3"/>
  <c r="BA244" i="3"/>
  <c r="AZ244" i="3" s="1"/>
  <c r="BL244" i="3"/>
  <c r="BA248" i="3"/>
  <c r="BA252" i="3"/>
  <c r="AZ252" i="3" s="1"/>
  <c r="BA254" i="3"/>
  <c r="AZ254" i="3" s="1"/>
  <c r="BA258" i="3"/>
  <c r="BL262" i="3"/>
  <c r="G263" i="3"/>
  <c r="BL264" i="3"/>
  <c r="G268" i="3"/>
  <c r="BA271" i="3"/>
  <c r="BL271" i="3"/>
  <c r="BL280" i="3"/>
  <c r="G281" i="3"/>
  <c r="BA282" i="3"/>
  <c r="BL282" i="3"/>
  <c r="BA286" i="3"/>
  <c r="AZ286" i="3" s="1"/>
  <c r="BL290" i="3"/>
  <c r="BL291" i="3"/>
  <c r="AZ291" i="3" s="1"/>
  <c r="BL293" i="3"/>
  <c r="BL294" i="3"/>
  <c r="BA297" i="3"/>
  <c r="AZ297" i="3" s="1"/>
  <c r="BL297" i="3"/>
  <c r="BA301" i="3"/>
  <c r="AZ301" i="3" s="1"/>
  <c r="BA117" i="3"/>
  <c r="BL123" i="3"/>
  <c r="AZ123" i="3" s="1"/>
  <c r="BL125" i="3"/>
  <c r="G1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AZ302" i="3" s="1"/>
  <c r="BA114" i="3"/>
  <c r="BA122" i="3"/>
  <c r="AZ122" i="3" s="1"/>
  <c r="BA125" i="3"/>
  <c r="AZ125"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4" i="3"/>
  <c r="AZ124" i="3" s="1"/>
  <c r="BL167" i="3"/>
  <c r="AZ167" i="3" s="1"/>
  <c r="BA185" i="3"/>
  <c r="AZ38" i="3"/>
  <c r="AZ100" i="3"/>
  <c r="F40" i="69"/>
  <c r="C40" i="69"/>
  <c r="D31" i="71"/>
  <c r="C32" i="71"/>
  <c r="D50" i="71"/>
  <c r="C51" i="71"/>
  <c r="V24" i="71"/>
  <c r="E23" i="71"/>
  <c r="E22" i="71" s="1"/>
  <c r="E21" i="71" s="1"/>
  <c r="E20" i="71" s="1"/>
  <c r="BL126" i="3"/>
  <c r="BA144" i="3"/>
  <c r="AZ144" i="3" s="1"/>
  <c r="BA153" i="3"/>
  <c r="BL155" i="3"/>
  <c r="AZ155"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BA41" i="3"/>
  <c r="BA42" i="3"/>
  <c r="G46" i="3"/>
  <c r="G47" i="3"/>
  <c r="BL48" i="3"/>
  <c r="BA51" i="3"/>
  <c r="G55" i="3"/>
  <c r="BL56" i="3"/>
  <c r="BA58" i="3"/>
  <c r="BL59" i="3"/>
  <c r="AZ59" i="3" s="1"/>
  <c r="BL60" i="3"/>
  <c r="BA61" i="3"/>
  <c r="AZ61" i="3" s="1"/>
  <c r="BL69" i="3"/>
  <c r="G70" i="3"/>
  <c r="BL70" i="3"/>
  <c r="BL71" i="3"/>
  <c r="BL72" i="3"/>
  <c r="AZ72" i="3" s="1"/>
  <c r="G74" i="3"/>
  <c r="BA75" i="3"/>
  <c r="AZ75" i="3" s="1"/>
  <c r="BL86" i="3"/>
  <c r="G87" i="3"/>
  <c r="BA91" i="3"/>
  <c r="AZ91" i="3" s="1"/>
  <c r="BA97" i="3"/>
  <c r="AZ97" i="3" s="1"/>
  <c r="BL101" i="3"/>
  <c r="BL102" i="3"/>
  <c r="AZ102" i="3" s="1"/>
  <c r="G105" i="3"/>
  <c r="BL106" i="3"/>
  <c r="BA108" i="3"/>
  <c r="W21" i="21"/>
  <c r="T28" i="71"/>
  <c r="D28" i="71"/>
  <c r="U28" i="71" s="1"/>
  <c r="C27" i="71"/>
  <c r="C60" i="71"/>
  <c r="D59" i="71"/>
  <c r="F66" i="71"/>
  <c r="Q67" i="71"/>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A181" i="3"/>
  <c r="AZ181" i="3" s="1"/>
  <c r="BA182" i="3"/>
  <c r="AZ182" i="3" s="1"/>
  <c r="BL193" i="3"/>
  <c r="BL194" i="3"/>
  <c r="AZ194" i="3" s="1"/>
  <c r="BA198" i="3"/>
  <c r="AZ198" i="3" s="1"/>
  <c r="BL206" i="3"/>
  <c r="BA19" i="3"/>
  <c r="AZ19" i="3" s="1"/>
  <c r="BA27" i="3"/>
  <c r="BL30" i="3"/>
  <c r="BL31" i="3"/>
  <c r="BL40" i="3"/>
  <c r="BL41" i="3"/>
  <c r="BL45" i="3"/>
  <c r="BA48" i="3"/>
  <c r="BA49" i="3"/>
  <c r="BL64" i="3"/>
  <c r="AZ64" i="3" s="1"/>
  <c r="BL65" i="3"/>
  <c r="AZ65" i="3" s="1"/>
  <c r="BL66" i="3"/>
  <c r="BL67" i="3"/>
  <c r="AZ67" i="3" s="1"/>
  <c r="AZ70" i="3"/>
  <c r="BL79" i="3"/>
  <c r="BL81" i="3"/>
  <c r="BA82" i="3"/>
  <c r="AZ82" i="3" s="1"/>
  <c r="BL83" i="3"/>
  <c r="BA89" i="3"/>
  <c r="BL93" i="3"/>
  <c r="BL94" i="3"/>
  <c r="AZ94" i="3" s="1"/>
  <c r="D44" i="71"/>
  <c r="T44" i="71"/>
  <c r="D34" i="71"/>
  <c r="C35" i="71"/>
  <c r="C55" i="71"/>
  <c r="D54" i="71"/>
  <c r="D67" i="71"/>
  <c r="C66" i="71"/>
  <c r="O67" i="7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G51" i="3"/>
  <c r="BA52" i="3"/>
  <c r="AZ52" i="3" s="1"/>
  <c r="BA53" i="3"/>
  <c r="BA54" i="3"/>
  <c r="BL57" i="3"/>
  <c r="G62" i="3"/>
  <c r="BL62" i="3"/>
  <c r="AZ62" i="3" s="1"/>
  <c r="BL63" i="3"/>
  <c r="G67" i="3"/>
  <c r="BL68" i="3"/>
  <c r="BA69" i="3"/>
  <c r="BA73" i="3"/>
  <c r="G78" i="3"/>
  <c r="G79" i="3"/>
  <c r="G81" i="3"/>
  <c r="G85" i="3"/>
  <c r="BL85" i="3"/>
  <c r="BA86" i="3"/>
  <c r="AZ86" i="3" s="1"/>
  <c r="G93" i="3"/>
  <c r="BA109" i="3"/>
  <c r="C64" i="71"/>
  <c r="D63" i="71"/>
  <c r="G103" i="3"/>
  <c r="BA103" i="3"/>
  <c r="AZ103" i="3" s="1"/>
  <c r="BA104" i="3"/>
  <c r="BA106" i="3"/>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C36" i="68"/>
  <c r="D9" i="69"/>
  <c r="C36" i="69"/>
  <c r="D9" i="68"/>
  <c r="F8" i="15"/>
  <c r="J15" i="15"/>
  <c r="M26" i="15"/>
  <c r="F42" i="15"/>
  <c r="L47" i="15"/>
  <c r="F43" i="67"/>
  <c r="F8" i="67"/>
  <c r="D3" i="73"/>
  <c r="D4" i="73"/>
  <c r="D7" i="73"/>
  <c r="F36" i="15"/>
  <c r="M22" i="15"/>
  <c r="F43" i="15"/>
  <c r="F13" i="15"/>
  <c r="F40" i="15"/>
  <c r="F38" i="15"/>
  <c r="M6" i="67"/>
  <c r="C76" i="15"/>
  <c r="L48" i="15"/>
  <c r="F26" i="15"/>
  <c r="M29" i="15"/>
  <c r="F7" i="15"/>
  <c r="M26" i="67"/>
  <c r="F16" i="15"/>
  <c r="M24" i="15"/>
  <c r="F37" i="15"/>
  <c r="M9" i="15"/>
  <c r="F9" i="15"/>
  <c r="F7" i="67"/>
  <c r="D5" i="73"/>
  <c r="G26" i="43" l="1"/>
  <c r="E26" i="43"/>
  <c r="K16" i="1"/>
  <c r="N370" i="46"/>
  <c r="F26" i="43"/>
  <c r="D26" i="43" s="1"/>
  <c r="C25" i="43" s="1"/>
  <c r="N94" i="46"/>
  <c r="F30" i="6"/>
  <c r="E59" i="40"/>
  <c r="F31" i="67"/>
  <c r="M7" i="67"/>
  <c r="J6" i="67" s="1"/>
  <c r="J18" i="67" s="1"/>
  <c r="F50" i="67"/>
  <c r="F65" i="15"/>
  <c r="M7" i="15"/>
  <c r="J6" i="15" s="1"/>
  <c r="J18" i="15" s="1"/>
  <c r="F31" i="15"/>
  <c r="F50" i="15"/>
  <c r="C27" i="15"/>
  <c r="I54" i="15"/>
  <c r="J53" i="15"/>
  <c r="L56" i="15" s="1"/>
  <c r="J57" i="15"/>
  <c r="J55" i="15" s="1"/>
  <c r="J58" i="15" s="1"/>
  <c r="Q50" i="15" s="1"/>
  <c r="Q71" i="15"/>
  <c r="F66" i="15"/>
  <c r="F68" i="15"/>
  <c r="F71" i="15"/>
  <c r="F64" i="15"/>
  <c r="C6" i="67"/>
  <c r="C32" i="67" s="1"/>
  <c r="F51" i="67"/>
  <c r="F71" i="67"/>
  <c r="L58" i="15"/>
  <c r="Q60" i="15" s="1"/>
  <c r="M59" i="15"/>
  <c r="L59" i="15"/>
  <c r="Q74" i="15" s="1"/>
  <c r="N59" i="15"/>
  <c r="C6" i="15"/>
  <c r="C32" i="15" s="1"/>
  <c r="F51" i="15"/>
  <c r="G5" i="3"/>
  <c r="B3" i="3" s="1"/>
  <c r="D83" i="71"/>
  <c r="C82" i="71"/>
  <c r="D82" i="71" s="1"/>
  <c r="AZ69" i="3"/>
  <c r="AZ53" i="3"/>
  <c r="AZ190" i="3"/>
  <c r="O65" i="71"/>
  <c r="D66" i="71"/>
  <c r="O66" i="71"/>
  <c r="C36" i="71"/>
  <c r="D35" i="71"/>
  <c r="AZ49" i="3"/>
  <c r="C26" i="71"/>
  <c r="D26" i="71" s="1"/>
  <c r="D27" i="71"/>
  <c r="AZ108" i="3"/>
  <c r="T32" i="71"/>
  <c r="D32" i="71"/>
  <c r="AZ251" i="3"/>
  <c r="AZ247" i="3"/>
  <c r="AZ294" i="3"/>
  <c r="AZ282" i="3"/>
  <c r="AZ271" i="3"/>
  <c r="AZ248" i="3"/>
  <c r="AZ453" i="3"/>
  <c r="AZ368" i="3"/>
  <c r="G16" i="1"/>
  <c r="F10" i="39" s="1"/>
  <c r="S10" i="39" s="1"/>
  <c r="C70" i="71"/>
  <c r="D70" i="71" s="1"/>
  <c r="D71" i="71"/>
  <c r="AZ45" i="3"/>
  <c r="AZ27" i="3"/>
  <c r="AZ240" i="3"/>
  <c r="AZ471" i="3"/>
  <c r="AZ403" i="3"/>
  <c r="AB12" i="36"/>
  <c r="U12" i="36"/>
  <c r="C40" i="71"/>
  <c r="D39" i="71"/>
  <c r="D75" i="71"/>
  <c r="C74" i="71"/>
  <c r="D74" i="71" s="1"/>
  <c r="AZ51" i="3"/>
  <c r="C52" i="71"/>
  <c r="D51" i="71"/>
  <c r="AB24" i="36"/>
  <c r="U24" i="36"/>
  <c r="U26" i="33"/>
  <c r="AB26" i="33"/>
  <c r="AC12" i="36"/>
  <c r="W12" i="36"/>
  <c r="D79" i="71"/>
  <c r="C78" i="71"/>
  <c r="D78" i="71" s="1"/>
  <c r="C56" i="71"/>
  <c r="D55" i="71"/>
  <c r="AZ130" i="3"/>
  <c r="D60" i="71"/>
  <c r="T60" i="71"/>
  <c r="AZ58" i="3"/>
  <c r="AZ41" i="3"/>
  <c r="AZ118" i="3"/>
  <c r="AZ238" i="3"/>
  <c r="AZ422" i="3"/>
  <c r="AC24" i="36"/>
  <c r="W24" i="36"/>
  <c r="AC44" i="39"/>
  <c r="W44" i="39"/>
  <c r="S26" i="33"/>
  <c r="AA26" i="33"/>
  <c r="J7" i="37"/>
  <c r="W7" i="37" s="1"/>
  <c r="K1" i="73"/>
  <c r="E105" i="3"/>
  <c r="E490" i="3"/>
  <c r="E178" i="3"/>
  <c r="E473" i="3"/>
  <c r="E339" i="3"/>
  <c r="E364" i="3"/>
  <c r="E141" i="3"/>
  <c r="E65" i="3"/>
  <c r="E520" i="3"/>
  <c r="E149" i="3"/>
  <c r="E373" i="3"/>
  <c r="E459" i="3"/>
  <c r="E127" i="3"/>
  <c r="E532" i="3"/>
  <c r="E208" i="3"/>
  <c r="E411" i="3"/>
  <c r="E272" i="3"/>
  <c r="O6" i="3"/>
  <c r="E321" i="3"/>
  <c r="E254" i="3"/>
  <c r="E128" i="3"/>
  <c r="E429" i="3"/>
  <c r="I6" i="3"/>
  <c r="E581" i="3"/>
  <c r="E334" i="3"/>
  <c r="E239" i="3"/>
  <c r="E551" i="3"/>
  <c r="E415" i="3"/>
  <c r="E382" i="3"/>
  <c r="E85" i="3"/>
  <c r="E458" i="3"/>
  <c r="E72" i="3"/>
  <c r="E318" i="3"/>
  <c r="E271" i="3"/>
  <c r="E477" i="3"/>
  <c r="E27" i="3"/>
  <c r="E384" i="3"/>
  <c r="E305"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15"/>
  <c r="F41" i="67"/>
  <c r="G1" i="73"/>
  <c r="C16" i="67"/>
  <c r="J5" i="15" l="1"/>
  <c r="J24" i="15" s="1"/>
  <c r="C49" i="67"/>
  <c r="C49" i="15"/>
  <c r="AA10" i="39"/>
  <c r="F10" i="40"/>
  <c r="S10" i="40" s="1"/>
  <c r="H10" i="39"/>
  <c r="U10" i="39" s="1"/>
  <c r="Q52" i="15"/>
  <c r="J5" i="67"/>
  <c r="J24" i="67" s="1"/>
  <c r="E539" i="3"/>
  <c r="E199" i="3"/>
  <c r="E435" i="3"/>
  <c r="E76" i="3"/>
  <c r="E249" i="3"/>
  <c r="E33" i="3"/>
  <c r="E81" i="3"/>
  <c r="E21"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R6" i="3"/>
  <c r="E56" i="3"/>
  <c r="E425" i="3"/>
  <c r="E300" i="3"/>
  <c r="E144" i="3"/>
  <c r="E264" i="3"/>
  <c r="E494" i="3"/>
  <c r="AL6" i="3"/>
  <c r="E18" i="3"/>
  <c r="E235" i="3"/>
  <c r="E34" i="3"/>
  <c r="E102" i="3"/>
  <c r="E22" i="3"/>
  <c r="E173" i="3"/>
  <c r="E405" i="3"/>
  <c r="E541" i="3"/>
  <c r="E192" i="3"/>
  <c r="I3" i="6"/>
  <c r="E492" i="3"/>
  <c r="E283" i="3"/>
  <c r="E42" i="3"/>
  <c r="E383" i="3"/>
  <c r="E113" i="3"/>
  <c r="E525"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44" i="3"/>
  <c r="E166" i="3"/>
  <c r="E30" i="3"/>
  <c r="E553" i="3"/>
  <c r="E516" i="3"/>
  <c r="E151" i="3"/>
  <c r="V6" i="3"/>
  <c r="E230" i="3"/>
  <c r="E395" i="3"/>
  <c r="E290" i="3"/>
  <c r="E578" i="3"/>
  <c r="E583" i="3"/>
  <c r="E314" i="3"/>
  <c r="E193" i="3"/>
  <c r="E527" i="3"/>
  <c r="E363" i="3"/>
  <c r="E23" i="3"/>
  <c r="E513" i="3"/>
  <c r="E75" i="3"/>
  <c r="E522" i="3"/>
  <c r="E287" i="3"/>
  <c r="E534"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32" i="3"/>
  <c r="E497" i="3"/>
  <c r="E381" i="3"/>
  <c r="E118" i="3"/>
  <c r="E487" i="3"/>
  <c r="E296" i="3"/>
  <c r="E200" i="3"/>
  <c r="E385" i="3"/>
  <c r="E191" i="3"/>
  <c r="E445" i="3"/>
  <c r="E69" i="3"/>
  <c r="E387" i="3"/>
  <c r="E514" i="3"/>
  <c r="E431" i="3"/>
  <c r="E322" i="3"/>
  <c r="E109" i="3"/>
  <c r="E211" i="3"/>
  <c r="E489" i="3"/>
  <c r="E400" i="3"/>
  <c r="E327" i="3"/>
  <c r="E227" i="3"/>
  <c r="E214" i="3"/>
  <c r="E454" i="3"/>
  <c r="E465" i="3"/>
  <c r="K6" i="3"/>
  <c r="H6" i="3" s="1"/>
  <c r="AK6" i="3"/>
  <c r="E77" i="3"/>
  <c r="E495" i="3"/>
  <c r="E134" i="3"/>
  <c r="E361" i="3"/>
  <c r="E185" i="3"/>
  <c r="E439" i="3"/>
  <c r="E533" i="3"/>
  <c r="E410" i="3"/>
  <c r="E530" i="3"/>
  <c r="E331" i="3"/>
  <c r="E447" i="3"/>
  <c r="E478" i="3"/>
  <c r="E269" i="3"/>
  <c r="E351" i="3"/>
  <c r="E450" i="3"/>
  <c r="E573" i="3"/>
  <c r="E453" i="3"/>
  <c r="E245" i="3"/>
  <c r="E114" i="3"/>
  <c r="E559" i="3"/>
  <c r="N6" i="3"/>
  <c r="E316" i="3"/>
  <c r="E558" i="3"/>
  <c r="E32" i="3"/>
  <c r="E344" i="3"/>
  <c r="E434" i="3"/>
  <c r="E221" i="3"/>
  <c r="E418" i="3"/>
  <c r="E328" i="3"/>
  <c r="E126" i="3"/>
  <c r="E379" i="3"/>
  <c r="E168" i="3"/>
  <c r="E313" i="3"/>
  <c r="E98" i="3"/>
  <c r="AD6" i="3"/>
  <c r="AC6" i="3" s="1"/>
  <c r="E341" i="3"/>
  <c r="E19" i="3"/>
  <c r="E500" i="3"/>
  <c r="E521" i="3"/>
  <c r="E101" i="3"/>
  <c r="E340" i="3"/>
  <c r="E299" i="3"/>
  <c r="E43" i="3"/>
  <c r="E108" i="3"/>
  <c r="E440" i="3"/>
  <c r="E223" i="3"/>
  <c r="E49" i="3"/>
  <c r="E225" i="3"/>
  <c r="E360" i="3"/>
  <c r="E205" i="3"/>
  <c r="E96" i="3"/>
  <c r="E355" i="3"/>
  <c r="E243" i="3"/>
  <c r="E140" i="3"/>
  <c r="E129" i="3"/>
  <c r="E510"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388" i="3"/>
  <c r="E175" i="3"/>
  <c r="E210" i="3"/>
  <c r="AS6" i="3"/>
  <c r="E515" i="3"/>
  <c r="E549" i="3"/>
  <c r="E150" i="3"/>
  <c r="E571" i="3"/>
  <c r="E45" i="3"/>
  <c r="E336" i="3"/>
  <c r="E117" i="3"/>
  <c r="E294" i="3"/>
  <c r="E229" i="3"/>
  <c r="E366" i="3"/>
  <c r="E121" i="3"/>
  <c r="E448" i="3"/>
  <c r="E256" i="3"/>
  <c r="Q6" i="3"/>
  <c r="E280" i="3"/>
  <c r="E565" i="3"/>
  <c r="E390" i="3"/>
  <c r="E319" i="3"/>
  <c r="E403" i="3"/>
  <c r="E397" i="3"/>
  <c r="E537" i="3"/>
  <c r="E352" i="3"/>
  <c r="E167" i="3"/>
  <c r="E163" i="3"/>
  <c r="E375" i="3"/>
  <c r="E209" i="3"/>
  <c r="E244" i="3"/>
  <c r="E90" i="3"/>
  <c r="E218" i="3"/>
  <c r="E112" i="3"/>
  <c r="E170" i="3"/>
  <c r="E333" i="3"/>
  <c r="E401" i="3"/>
  <c r="E427" i="3"/>
  <c r="E83" i="3"/>
  <c r="E220" i="3"/>
  <c r="E26" i="3"/>
  <c r="E469" i="3"/>
  <c r="E251" i="3"/>
  <c r="E332" i="3"/>
  <c r="E103"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508" i="3"/>
  <c r="E441" i="3"/>
  <c r="E162" i="3"/>
  <c r="E505" i="3"/>
  <c r="E585" i="3"/>
  <c r="E31" i="3"/>
  <c r="E111" i="3"/>
  <c r="E562" i="3"/>
  <c r="E99" i="3"/>
  <c r="E293" i="3"/>
  <c r="E550" i="3"/>
  <c r="E320" i="3"/>
  <c r="E396" i="3"/>
  <c r="E125" i="3"/>
  <c r="E88" i="3"/>
  <c r="E576" i="3"/>
  <c r="E203" i="3"/>
  <c r="E330" i="3"/>
  <c r="AN6" i="3"/>
  <c r="E304" i="3"/>
  <c r="E97" i="3"/>
  <c r="E29" i="3"/>
  <c r="E547" i="3"/>
  <c r="E93" i="3"/>
  <c r="E288" i="3"/>
  <c r="E136" i="3"/>
  <c r="E154" i="3"/>
  <c r="E259" i="3"/>
  <c r="E297" i="3"/>
  <c r="E138" i="3"/>
  <c r="E51" i="3"/>
  <c r="E460" i="3"/>
  <c r="E176" i="3"/>
  <c r="E52" i="3"/>
  <c r="E38" i="3"/>
  <c r="E346" i="3"/>
  <c r="E498" i="3"/>
  <c r="E543" i="3"/>
  <c r="E326" i="3"/>
  <c r="E78" i="3"/>
  <c r="E420" i="3"/>
  <c r="E456" i="3"/>
  <c r="E206" i="3"/>
  <c r="E281" i="3"/>
  <c r="E46" i="3"/>
  <c r="Q61" i="15"/>
  <c r="F1" i="15"/>
  <c r="E3" i="6"/>
  <c r="E484" i="3"/>
  <c r="E544" i="3"/>
  <c r="E292" i="3"/>
  <c r="E152" i="3"/>
  <c r="E479" i="3"/>
  <c r="E517" i="3"/>
  <c r="E255" i="3"/>
  <c r="E466" i="3"/>
  <c r="E499" i="3"/>
  <c r="E212" i="3"/>
  <c r="E198" i="3"/>
  <c r="E309" i="3"/>
  <c r="E63" i="3"/>
  <c r="E233" i="3"/>
  <c r="E67" i="3"/>
  <c r="E310" i="3"/>
  <c r="E267" i="3"/>
  <c r="E64" i="3"/>
  <c r="E409" i="3"/>
  <c r="E389" i="3"/>
  <c r="E241" i="3"/>
  <c r="E95" i="3"/>
  <c r="E417" i="3"/>
  <c r="E554" i="3"/>
  <c r="E449" i="3"/>
  <c r="E442" i="3"/>
  <c r="E575" i="3"/>
  <c r="E536" i="3"/>
  <c r="E68" i="3"/>
  <c r="E184" i="3"/>
  <c r="E84" i="3"/>
  <c r="E371" i="3"/>
  <c r="E160" i="3"/>
  <c r="E467" i="3"/>
  <c r="E59" i="3"/>
  <c r="E349" i="3"/>
  <c r="E258" i="3"/>
  <c r="E37" i="3"/>
  <c r="E491" i="3"/>
  <c r="AP6" i="3"/>
  <c r="E430" i="3"/>
  <c r="E502" i="3"/>
  <c r="E286" i="3"/>
  <c r="AC7" i="37"/>
  <c r="Q73" i="15"/>
  <c r="H10" i="40"/>
  <c r="AB10" i="40" s="1"/>
  <c r="J10" i="40"/>
  <c r="AC10" i="40" s="1"/>
  <c r="J10" i="39"/>
  <c r="W10" i="39" s="1"/>
  <c r="T52" i="71"/>
  <c r="D52" i="71"/>
  <c r="T40" i="71"/>
  <c r="D40" i="71"/>
  <c r="D56" i="71"/>
  <c r="T56"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M27" i="67"/>
  <c r="M27" i="15"/>
  <c r="F41" i="15"/>
  <c r="F24" i="15" l="1"/>
  <c r="C24" i="15" s="1"/>
  <c r="F22" i="69"/>
  <c r="F41" i="69" s="1"/>
  <c r="F22" i="11"/>
  <c r="C23" i="11" s="1"/>
  <c r="F22" i="68"/>
  <c r="F41" i="68" s="1"/>
  <c r="F25" i="12"/>
  <c r="C26" i="12" s="1"/>
  <c r="D25" i="12" s="1"/>
  <c r="F24" i="67"/>
  <c r="C24" i="67" s="1"/>
  <c r="D116" i="43"/>
  <c r="W10" i="40"/>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9"/>
  <c r="D41" i="69" s="1"/>
  <c r="C66" i="67"/>
  <c r="C60" i="67"/>
  <c r="D10" i="69"/>
  <c r="C34" i="69"/>
  <c r="D10" i="68"/>
  <c r="C17" i="67"/>
  <c r="C14" i="67"/>
  <c r="C17" i="15"/>
  <c r="C26" i="69" l="1"/>
  <c r="D22" i="69" s="1"/>
  <c r="C24" i="11"/>
  <c r="C25" i="11"/>
  <c r="C44" i="11"/>
  <c r="D41" i="11" s="1"/>
  <c r="C26" i="11"/>
  <c r="D22" i="11" s="1"/>
  <c r="C26" i="68"/>
  <c r="D22" i="68" s="1"/>
  <c r="C44" i="68"/>
  <c r="D41" i="68" s="1"/>
  <c r="H25" i="6"/>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B6" i="76"/>
  <c r="E6" i="76"/>
  <c r="B3" i="43" l="1"/>
  <c r="C6" i="68"/>
  <c r="C7" i="68" s="1"/>
  <c r="C5" i="68" s="1"/>
  <c r="C23" i="68" s="1"/>
  <c r="C31" i="1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9"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119" i="9"/>
  <c r="H5" i="52" s="1"/>
  <c r="H4" i="52"/>
  <c r="F119" i="9"/>
  <c r="F5" i="52" s="1"/>
  <c r="B53" i="72" s="1"/>
  <c r="G118" i="9"/>
  <c r="G4" i="52" s="1"/>
  <c r="B52" i="72" s="1"/>
  <c r="H101" i="9"/>
  <c r="I118" i="9"/>
  <c r="D45" i="9" l="1"/>
  <c r="D5" i="53"/>
  <c r="M48" i="9"/>
  <c r="H107" i="9"/>
  <c r="C105" i="9"/>
  <c r="E118" i="9"/>
  <c r="E4" i="52" s="1"/>
  <c r="B48" i="72" s="1"/>
  <c r="I4" i="52"/>
  <c r="H102" i="9"/>
  <c r="D122" i="9" l="1"/>
  <c r="D13" i="53"/>
  <c r="M49" i="9"/>
  <c r="H108" i="9"/>
  <c r="C5" i="74"/>
  <c r="D7" i="53"/>
  <c r="B21" i="72" s="1"/>
  <c r="D6" i="53"/>
  <c r="B22" i="72" s="1"/>
  <c r="B20" i="72"/>
  <c r="D52" i="9"/>
  <c r="C78" i="9"/>
  <c r="C73" i="9" s="1"/>
  <c r="C93" i="9"/>
  <c r="C86" i="9" s="1"/>
  <c r="D53" i="9"/>
  <c r="D48" i="9" s="1"/>
  <c r="M52" i="9" s="1"/>
  <c r="D55" i="9"/>
  <c r="M53" i="9" s="1"/>
  <c r="C72" i="9"/>
  <c r="C85" i="9"/>
  <c r="C64" i="9"/>
  <c r="C63" i="9" s="1"/>
  <c r="C67" i="9" s="1"/>
  <c r="C79" i="9" l="1"/>
  <c r="C95" i="9"/>
  <c r="C96" i="9" s="1"/>
  <c r="E96" i="9" s="1"/>
  <c r="E97" i="9" s="1"/>
  <c r="D59" i="9"/>
  <c r="M55" i="9" s="1"/>
  <c r="C68" i="9"/>
  <c r="D54" i="9" s="1"/>
  <c r="D15" i="53"/>
  <c r="B31" i="72" s="1"/>
  <c r="C6" i="74"/>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<sst xmlns="http://schemas.openxmlformats.org/spreadsheetml/2006/main" count="7830" uniqueCount="3434">
  <si>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</si>
  <si>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</si>
  <si>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</si>
  <si>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</si>
  <si>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</si>
  <si>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</si>
  <si>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</si>
  <si>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</si>
  <si>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</si>
  <si>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</si>
  <si>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</si>
  <si>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</si>
  <si>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</si>
  <si>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</si>
  <si>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</si>
  <si>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</si>
  <si>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</si>
  <si>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</si>
  <si>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</si>
  <si>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</si>
  <si>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</si>
  <si>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</si>
  <si>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</si>
  <si>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</si>
  <si>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</si>
  <si>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</si>
  <si>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</si>
  <si>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</si>
  <si>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</si>
  <si>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</si>
  <si>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</si>
  <si>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</si>
  <si>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</si>
  <si>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</si>
  <si>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</si>
  <si>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</si>
  <si>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</si>
  <si>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</si>
  <si>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</si>
  <si>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</si>
  <si>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</si>
  <si>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</si>
  <si>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</si>
  <si>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</si>
  <si>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</si>
  <si>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</si>
  <si>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</si>
  <si>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</si>
  <si>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</si>
  <si>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</si>
  <si>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</si>
  <si>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</si>
  <si>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</si>
  <si>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</si>
  <si>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</si>
  <si>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</si>
  <si>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</si>
  <si>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</si>
  <si>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</si>
  <si>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</si>
  <si>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</si>
  <si>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</si>
  <si>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</si>
  <si>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</si>
  <si>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</si>
  <si>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</si>
  <si>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</si>
  <si>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</si>
  <si>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</si>
  <si>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</si>
  <si>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</si>
  <si>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</si>
  <si>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</si>
  <si>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</si>
  <si>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</si>
  <si>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</si>
  <si>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</si>
  <si>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</si>
  <si>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</si>
  <si>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</si>
  <si>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</si>
  <si>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</si>
  <si>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</si>
  <si>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</si>
  <si>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</si>
  <si>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</si>
  <si>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</si>
  <si>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</si>
  <si>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</si>
  <si>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</si>
  <si>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</si>
  <si>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</si>
  <si>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</si>
  <si>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</si>
  <si>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</si>
  <si>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</si>
  <si>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</si>
  <si>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</si>
  <si>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</si>
  <si>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</si>
  <si>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</si>
  <si>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</si>
  <si>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</si>
  <si>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</si>
  <si>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</si>
  <si>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</si>
  <si>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</si>
  <si>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</si>
  <si>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</si>
  <si>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</si>
  <si>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</si>
  <si>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</si>
  <si>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</si>
  <si>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</si>
  <si>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</si>
  <si>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</si>
  <si>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</si>
  <si>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</si>
  <si>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</si>
  <si>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</si>
  <si>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</si>
  <si>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</si>
  <si>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</si>
  <si>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</si>
  <si>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</si>
  <si>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</si>
  <si>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</si>
  <si>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</si>
  <si>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</si>
  <si>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</si>
  <si>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</si>
  <si>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</si>
  <si>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</si>
  <si>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</si>
  <si>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</si>
  <si>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</si>
  <si>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</si>
  <si>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</si>
  <si>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</si>
  <si>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</si>
  <si>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</si>
  <si>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</si>
  <si>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</si>
  <si>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</si>
  <si>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</si>
  <si>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</si>
  <si>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</si>
  <si>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</si>
  <si>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</si>
  <si>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</si>
  <si>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</si>
  <si>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</si>
  <si>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</si>
  <si>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</si>
  <si>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</si>
  <si>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</si>
  <si>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</si>
  <si>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</si>
  <si>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</si>
  <si>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</si>
  <si>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</si>
  <si>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</si>
  <si>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</si>
  <si>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</si>
  <si>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</si>
  <si>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</si>
  <si>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</si>
  <si>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</si>
  <si>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</si>
  <si>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</si>
  <si>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</si>
  <si>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</si>
  <si>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</si>
  <si>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</si>
  <si>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</si>
  <si>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</si>
  <si>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</si>
  <si>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</si>
  <si>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</si>
  <si>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</si>
  <si>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</si>
  <si>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</si>
  <si>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</si>
  <si>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</si>
  <si>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</si>
  <si>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</si>
  <si>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</si>
  <si>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</si>
  <si>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</si>
  <si>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</si>
  <si>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</si>
  <si>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</si>
  <si>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</si>
  <si>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</si>
  <si>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</si>
  <si>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</si>
  <si>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</si>
  <si>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</si>
  <si>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</si>
  <si>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</si>
  <si>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</si>
  <si>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</si>
  <si>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</si>
  <si>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</si>
  <si>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</si>
  <si>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</si>
  <si>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</si>
  <si>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</si>
  <si>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</si>
  <si>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</si>
  <si>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</si>
  <si>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</si>
  <si>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</si>
  <si>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</si>
  <si>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</si>
  <si>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</si>
  <si>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</si>
  <si>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</si>
  <si>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</si>
  <si>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</si>
  <si>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</si>
  <si>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</si>
  <si>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</si>
  <si>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</si>
  <si>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</si>
  <si>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</si>
  <si>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</si>
  <si>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</si>
  <si>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</si>
  <si>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</si>
  <si>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</si>
  <si>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</si>
  <si>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</si>
  <si>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</si>
  <si>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</si>
  <si>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</si>
  <si>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</si>
  <si>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</si>
  <si>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</si>
  <si>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</si>
  <si>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</si>
  <si>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</si>
  <si>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</si>
  <si>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</si>
  <si>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</si>
  <si>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</si>
  <si>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</si>
  <si>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</si>
  <si>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</si>
  <si>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</si>
  <si>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</si>
  <si>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</si>
  <si>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</si>
  <si>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</si>
  <si>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</si>
  <si>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</si>
  <si>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</si>
  <si>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</si>
  <si>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</si>
  <si>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</si>
  <si>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</si>
  <si>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</si>
  <si>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</si>
  <si>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</si>
  <si>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</si>
  <si>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</si>
  <si>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</si>
  <si>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</si>
  <si>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</si>
  <si>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</si>
  <si>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</si>
  <si>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</si>
  <si>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</si>
  <si>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</si>
  <si>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</si>
  <si>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</si>
  <si>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</si>
  <si>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</si>
  <si>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</si>
  <si>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</si>
  <si>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</si>
  <si>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</si>
  <si>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</si>
  <si>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</si>
  <si>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</si>
  <si>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</si>
  <si>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</si>
  <si>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</si>
  <si>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</si>
  <si>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</si>
  <si>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</si>
  <si>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</si>
  <si>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</si>
  <si>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</si>
  <si>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</si>
  <si>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</si>
  <si>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</si>
  <si>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</si>
  <si>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</si>
  <si>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</si>
  <si>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</si>
  <si>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</si>
  <si>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</si>
  <si>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</si>
  <si>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</si>
  <si>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</si>
  <si>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</si>
  <si>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</si>
  <si>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</si>
  <si>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</si>
  <si>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</si>
  <si>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</si>
  <si>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</si>
  <si>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</si>
  <si>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</si>
  <si>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</si>
  <si>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</si>
  <si>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</si>
  <si>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</si>
  <si>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</si>
  <si>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</si>
  <si>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</si>
  <si>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</si>
  <si>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</si>
  <si>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</si>
  <si>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</si>
  <si>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</si>
  <si>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</si>
  <si>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</si>
  <si>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</si>
  <si>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</si>
  <si>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</si>
  <si>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</si>
  <si>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</si>
  <si>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</si>
  <si>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</si>
  <si>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</si>
  <si>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</si>
  <si>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</si>
  <si>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</si>
  <si>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</si>
  <si>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</si>
  <si>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</si>
  <si>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</si>
  <si>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</si>
  <si>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</si>
  <si>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</si>
  <si>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</si>
  <si>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</si>
  <si>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</si>
  <si>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</si>
  <si>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</si>
  <si>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</si>
  <si>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</si>
  <si>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</si>
  <si>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</si>
  <si>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</si>
  <si>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</si>
  <si>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</si>
  <si>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</si>
  <si>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</si>
  <si>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</si>
  <si>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</si>
  <si>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</si>
  <si>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</si>
  <si>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</si>
  <si>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</si>
  <si>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</si>
  <si>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</si>
  <si>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</si>
  <si>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</si>
  <si>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</si>
  <si>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</si>
  <si>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</si>
  <si>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</si>
  <si>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</si>
  <si>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</si>
  <si>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</si>
  <si>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</si>
  <si>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</si>
  <si>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</si>
  <si>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</si>
  <si>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</si>
  <si>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</si>
  <si>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</si>
  <si>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</si>
  <si>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</si>
  <si>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</si>
  <si>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</si>
  <si>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</si>
  <si>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</si>
  <si>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</si>
  <si>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</si>
  <si>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</si>
  <si>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</si>
  <si>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</si>
  <si>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</si>
  <si>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</si>
  <si>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</si>
  <si>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</si>
  <si>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</si>
  <si>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</si>
  <si>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</si>
  <si>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</si>
  <si>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</si>
  <si>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</si>
  <si>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</si>
  <si>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</si>
  <si>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</si>
  <si>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</si>
  <si>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</si>
  <si>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</si>
  <si>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</si>
  <si>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</si>
  <si>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</si>
  <si>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</si>
  <si>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</si>
  <si>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</si>
  <si>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</si>
  <si>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</si>
  <si>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</si>
  <si>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</si>
  <si>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</si>
  <si>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</si>
  <si>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</si>
  <si>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</si>
  <si>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</si>
  <si>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</si>
  <si>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</si>
  <si>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</si>
  <si>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</si>
  <si>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</si>
  <si>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</si>
  <si>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</si>
  <si>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</si>
  <si>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</si>
  <si>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</si>
  <si>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</si>
  <si>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</si>
  <si>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</si>
  <si>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</si>
  <si>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</si>
  <si>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</si>
  <si>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</si>
  <si>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</si>
  <si>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</si>
  <si>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</si>
  <si>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</si>
  <si>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</si>
  <si>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</si>
  <si>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</si>
  <si>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</si>
  <si>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</si>
  <si>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</si>
  <si>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</si>
  <si>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</si>
  <si>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</si>
  <si>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</si>
  <si>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</si>
  <si>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</si>
  <si>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</si>
  <si>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</si>
  <si>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</si>
  <si>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</si>
  <si>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</si>
  <si>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</si>
  <si>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</si>
  <si>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</si>
  <si>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</si>
  <si>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</si>
  <si>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</si>
  <si>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</si>
  <si>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</si>
  <si>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</si>
  <si>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</si>
  <si>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</si>
  <si>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</si>
  <si>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</si>
  <si>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</si>
  <si>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</si>
  <si>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</si>
  <si>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</si>
  <si>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</si>
  <si>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</si>
  <si>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</si>
  <si>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</si>
  <si>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</si>
  <si>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</si>
  <si>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</si>
  <si>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</si>
  <si>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</si>
  <si>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</si>
  <si>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</si>
  <si>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</si>
  <si>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</si>
  <si>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</si>
  <si>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</si>
  <si>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</si>
  <si>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</si>
  <si>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</si>
  <si>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</si>
  <si>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</si>
  <si>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</si>
  <si>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</si>
  <si>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</si>
  <si>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</si>
  <si>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</si>
  <si>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</si>
  <si>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</si>
  <si>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</si>
  <si>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</si>
  <si>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</si>
  <si>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</si>
  <si>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</si>
  <si>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</si>
  <si>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</si>
  <si>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</si>
  <si>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</si>
  <si>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</si>
  <si>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</si>
  <si>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</si>
  <si>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</si>
  <si>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</si>
  <si>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</si>
  <si>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</si>
  <si>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</si>
  <si>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</si>
  <si>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</si>
  <si>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</si>
  <si>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</si>
  <si>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</si>
  <si>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</si>
  <si>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</si>
  <si>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</si>
  <si>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</si>
  <si>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</si>
  <si>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</si>
  <si>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</si>
  <si>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</si>
  <si>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</si>
  <si>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</si>
  <si>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</si>
  <si>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</si>
  <si>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</si>
  <si>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</si>
  <si>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</si>
  <si>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</si>
  <si>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</si>
  <si>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</si>
  <si>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</si>
  <si>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</si>
  <si>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</si>
  <si>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</si>
  <si>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</si>
  <si>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</si>
  <si>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</si>
  <si>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</si>
  <si>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</si>
  <si>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</si>
  <si>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</si>
  <si>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</si>
  <si>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</si>
  <si>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</si>
  <si>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</si>
  <si>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</si>
  <si>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</si>
  <si>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</si>
  <si>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</si>
  <si>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</si>
  <si>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</si>
  <si>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</si>
  <si>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</si>
  <si>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</si>
  <si>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</si>
  <si>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</si>
  <si>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</si>
  <si>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</si>
  <si>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</si>
  <si>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</si>
  <si>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</si>
  <si>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</si>
  <si>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</si>
  <si>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</si>
  <si>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</si>
  <si>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</si>
  <si>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</si>
  <si>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</si>
  <si>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</si>
  <si>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</si>
  <si>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</si>
  <si>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</si>
  <si>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</si>
  <si>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</si>
  <si>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</si>
  <si>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</si>
  <si>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</si>
  <si>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</si>
  <si>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</si>
  <si>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</si>
  <si>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</si>
  <si>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</si>
  <si>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</si>
  <si>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</si>
  <si>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</si>
  <si>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</si>
  <si>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</si>
  <si>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</si>
  <si>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</si>
  <si>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</si>
  <si>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</si>
  <si>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</si>
  <si>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</si>
  <si>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</si>
  <si>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</si>
  <si>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</si>
  <si>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</si>
  <si>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</si>
  <si>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</si>
  <si>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</si>
  <si>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</si>
  <si>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</si>
  <si>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</si>
  <si>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</si>
  <si>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</si>
  <si>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</si>
  <si>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</si>
  <si>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</si>
  <si>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</si>
  <si>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</si>
  <si>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</si>
  <si>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</si>
  <si>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</si>
  <si>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</si>
  <si>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</si>
  <si>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</si>
  <si>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</si>
  <si>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</si>
  <si>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</si>
  <si>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</si>
  <si>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</si>
  <si>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</si>
  <si>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</si>
  <si>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</si>
  <si>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</si>
  <si>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</si>
  <si>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</si>
  <si>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</si>
  <si>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</si>
  <si>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</si>
  <si>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</si>
  <si>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</si>
  <si>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</si>
  <si>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</si>
  <si>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</si>
  <si>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</si>
  <si>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</si>
  <si>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</si>
  <si>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</si>
  <si>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</si>
  <si>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</si>
  <si>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</si>
  <si>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</si>
  <si>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</si>
  <si>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</si>
  <si>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</si>
  <si>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</si>
  <si>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</si>
  <si>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</si>
  <si>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</si>
  <si>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</si>
  <si>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</si>
  <si>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</si>
  <si>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</si>
  <si>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</si>
  <si>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</si>
  <si>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</si>
  <si>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</si>
  <si>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</si>
  <si>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</si>
  <si>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</si>
  <si>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</si>
  <si>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</si>
  <si>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</si>
  <si>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</si>
  <si>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</si>
  <si>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</si>
  <si>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</si>
  <si>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</si>
  <si>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</si>
  <si>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</si>
  <si>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</si>
  <si>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</si>
  <si>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</si>
  <si>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</si>
  <si>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</si>
  <si>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</si>
  <si>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</si>
  <si>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</si>
  <si>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</si>
  <si>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</si>
  <si>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</si>
  <si>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</si>
  <si>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</si>
  <si>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</si>
  <si>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</si>
  <si>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</si>
  <si>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</si>
  <si>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</si>
  <si>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</si>
  <si>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</si>
  <si>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</si>
  <si>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</si>
  <si>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</si>
  <si>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</si>
  <si>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</si>
  <si>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</si>
  <si>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</si>
  <si>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</si>
  <si>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</si>
  <si>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</si>
  <si>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</si>
  <si>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</si>
  <si>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</si>
  <si>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</si>
  <si>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</si>
  <si>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</si>
  <si>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</si>
  <si>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</si>
  <si>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</si>
  <si>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</si>
  <si>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</si>
  <si>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</si>
  <si>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</si>
  <si>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</si>
  <si>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</si>
  <si>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</si>
  <si>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</si>
  <si>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</si>
  <si>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</si>
  <si>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</si>
  <si>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</si>
  <si>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</si>
  <si>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</si>
  <si>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</si>
  <si>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</si>
  <si>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</si>
  <si>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</si>
  <si>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</si>
  <si>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</si>
  <si>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</si>
  <si>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</si>
  <si>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</si>
  <si>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</si>
  <si>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</si>
  <si>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</si>
  <si>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</si>
  <si>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</si>
  <si>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</si>
  <si>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</si>
  <si>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</si>
  <si>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</si>
  <si>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</si>
  <si>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</si>
  <si>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</si>
  <si>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</si>
  <si>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</si>
  <si>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</si>
  <si>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</si>
  <si>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</si>
  <si>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</si>
  <si>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</si>
  <si>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</si>
  <si>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</si>
  <si>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</si>
  <si>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</si>
  <si>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</si>
  <si>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</si>
  <si>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</si>
  <si>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</si>
  <si>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</si>
  <si>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</si>
  <si>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</si>
  <si>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</si>
  <si>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</si>
  <si>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</si>
  <si>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</si>
  <si>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</si>
  <si>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</si>
  <si>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</si>
  <si>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</si>
  <si>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</si>
  <si>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</si>
  <si>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</si>
  <si>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</si>
  <si>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</si>
  <si>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</si>
  <si>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</si>
  <si>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</si>
  <si>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</si>
  <si>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</si>
  <si>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</si>
  <si>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</si>
  <si>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</si>
  <si>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</si>
  <si>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</si>
  <si>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</si>
  <si>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</si>
  <si>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</si>
  <si>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</si>
  <si>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</si>
  <si>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</si>
  <si>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</si>
  <si>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</si>
  <si>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</si>
  <si>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</si>
  <si>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</si>
  <si>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</si>
  <si>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</si>
  <si>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</si>
  <si>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</si>
  <si>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</si>
  <si>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</si>
  <si>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</si>
  <si>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</si>
  <si>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</si>
  <si>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</si>
  <si>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</si>
  <si>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</si>
  <si>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</si>
  <si>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</si>
  <si>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</si>
  <si>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</si>
  <si>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</si>
  <si>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</si>
  <si>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</si>
  <si>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</si>
  <si>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</si>
  <si>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</si>
  <si>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</si>
  <si>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</si>
  <si>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</si>
  <si>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</si>
  <si>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</si>
  <si>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</si>
  <si>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</si>
  <si>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</si>
  <si>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</si>
  <si>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</si>
  <si>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</si>
  <si>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</si>
  <si>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</si>
  <si>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</si>
  <si>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</si>
  <si>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</si>
  <si>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</si>
  <si>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</si>
  <si>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</si>
  <si>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</si>
  <si>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</si>
  <si>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</si>
  <si>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</si>
  <si>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</si>
  <si>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</si>
  <si>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</si>
  <si>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</si>
  <si>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</si>
  <si>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</si>
  <si>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</si>
  <si>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</si>
  <si>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</si>
  <si>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</si>
  <si>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</si>
  <si>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</si>
  <si>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</si>
  <si>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</si>
  <si>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</si>
  <si>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</si>
  <si>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</si>
  <si>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</si>
  <si>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</si>
  <si>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</si>
  <si>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</si>
  <si>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</si>
  <si>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</si>
  <si>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</si>
  <si>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</si>
  <si>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</si>
  <si>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</si>
  <si>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</si>
  <si>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</si>
  <si>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</si>
  <si>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</si>
  <si>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</si>
  <si>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</si>
  <si>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</si>
  <si>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</si>
  <si>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</si>
  <si>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</si>
  <si>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</si>
  <si>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</si>
  <si>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</si>
  <si>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</si>
  <si>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</si>
  <si>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</si>
  <si>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</si>
  <si>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</si>
  <si>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</si>
  <si>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</si>
  <si>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</si>
  <si>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</si>
  <si>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</si>
  <si>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</si>
  <si>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</si>
  <si>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</si>
  <si>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</si>
  <si>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</si>
  <si>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</si>
  <si>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</si>
  <si>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</si>
  <si>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</si>
  <si>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</si>
  <si>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</si>
  <si>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</si>
  <si>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</si>
  <si>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</si>
  <si>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</si>
  <si>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</si>
  <si>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</si>
  <si>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</si>
  <si>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</si>
  <si>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</si>
  <si>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</si>
  <si>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</si>
  <si>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</si>
  <si>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</si>
  <si>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</si>
  <si>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</si>
  <si>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</si>
  <si>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</si>
  <si>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</si>
  <si>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</si>
  <si>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</si>
  <si>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</si>
  <si>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</si>
  <si>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</si>
  <si>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</si>
  <si>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</si>
  <si>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</si>
  <si>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</si>
  <si>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</si>
  <si>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</si>
  <si>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</si>
  <si>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</si>
  <si>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</si>
  <si>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</si>
  <si>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</si>
  <si>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</si>
  <si>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</si>
  <si>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</si>
  <si>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</si>
  <si>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</si>
  <si>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</si>
  <si>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</si>
  <si>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</si>
  <si>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</si>
  <si>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</si>
  <si>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</si>
  <si>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</si>
  <si>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</si>
  <si>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</si>
  <si>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</si>
  <si>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</si>
  <si>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</si>
  <si>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</si>
  <si>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</si>
  <si>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</si>
  <si>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</si>
  <si>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</si>
  <si>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</si>
  <si>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</si>
  <si>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</si>
  <si>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</si>
  <si>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</si>
  <si>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</si>
  <si>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</si>
  <si>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</si>
  <si>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</si>
  <si>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</si>
  <si>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</si>
  <si>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</si>
  <si>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</si>
  <si>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</si>
  <si>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</si>
  <si>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</si>
  <si>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</si>
  <si>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</si>
  <si>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</si>
  <si>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</si>
  <si>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</si>
  <si>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</si>
  <si>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</si>
  <si>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</si>
  <si>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</si>
  <si>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</si>
  <si>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</si>
  <si>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</si>
  <si>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</si>
  <si>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</si>
  <si>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</si>
  <si>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</si>
  <si>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</si>
  <si>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</si>
  <si>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</si>
  <si>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</si>
  <si>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</si>
  <si>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</si>
  <si>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</si>
  <si>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</si>
  <si>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</si>
  <si>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</si>
  <si>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</si>
  <si>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</si>
  <si>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</si>
  <si>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</si>
  <si>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</si>
  <si>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</si>
  <si>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</si>
  <si>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</si>
  <si>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</si>
  <si>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</si>
  <si>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</si>
  <si>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</si>
  <si>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</si>
  <si>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</si>
  <si>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</si>
  <si>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</si>
  <si>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</si>
  <si>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</si>
  <si>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</si>
  <si>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</si>
  <si>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</si>
  <si>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</si>
  <si>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</si>
  <si>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</si>
  <si>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</si>
  <si>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</si>
  <si>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</si>
  <si>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</si>
  <si>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</si>
  <si>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</si>
  <si>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</si>
  <si>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</si>
  <si>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</si>
  <si>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</si>
  <si>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</si>
  <si>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</si>
  <si>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</si>
  <si>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</si>
  <si>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</si>
  <si>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</si>
  <si>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</si>
  <si>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</si>
  <si>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</si>
  <si>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</si>
  <si>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</si>
  <si>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</si>
  <si>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</si>
  <si>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</si>
  <si>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</si>
  <si>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</si>
  <si>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</si>
  <si>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</si>
  <si>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</si>
  <si>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</si>
  <si>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</si>
  <si>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</si>
  <si>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</si>
  <si>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</si>
  <si>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</si>
  <si>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</si>
  <si>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</si>
  <si>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</si>
  <si>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</si>
  <si>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</si>
  <si>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</si>
  <si>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</si>
  <si>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</si>
  <si>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</si>
  <si>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</si>
  <si>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</si>
  <si>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</si>
  <si>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</si>
  <si>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</si>
  <si>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</si>
  <si>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</si>
  <si>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</si>
  <si>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</si>
  <si>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</si>
  <si>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</si>
  <si>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</si>
  <si>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</si>
  <si>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</si>
  <si>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</si>
  <si>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</si>
  <si>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</si>
  <si>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</si>
  <si>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</si>
  <si>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</si>
  <si>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</si>
  <si>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</si>
  <si>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</si>
  <si>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</si>
  <si>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</si>
  <si>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</si>
  <si>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</si>
  <si>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</si>
  <si>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</si>
  <si>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</si>
  <si>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</si>
  <si>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</si>
  <si>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</si>
  <si>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</si>
  <si>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</si>
  <si>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</si>
  <si>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</si>
  <si>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</si>
  <si>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</si>
  <si>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</si>
  <si>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</si>
  <si>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</si>
  <si>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</si>
  <si>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</si>
  <si>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</si>
  <si>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</si>
  <si>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</si>
  <si>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</si>
  <si>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</si>
  <si>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</si>
  <si>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</si>
  <si>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</si>
  <si>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</si>
  <si>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</si>
  <si>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</si>
  <si>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</si>
  <si>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</si>
  <si>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</si>
  <si>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</si>
  <si>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</si>
  <si>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</si>
  <si>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</si>
  <si>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</si>
  <si>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</si>
  <si>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</si>
  <si>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</si>
  <si>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</si>
  <si>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</si>
  <si>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</si>
  <si>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</si>
  <si>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</si>
  <si>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</si>
  <si>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</si>
  <si>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</si>
  <si>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</si>
  <si>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</si>
  <si>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</si>
  <si>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</si>
  <si>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</si>
  <si>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</si>
  <si>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</si>
  <si>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</si>
  <si>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</si>
  <si>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</si>
  <si>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</si>
  <si>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</si>
  <si>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</si>
  <si>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</si>
  <si>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</si>
  <si>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</si>
  <si>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</si>
  <si>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</si>
  <si>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</si>
  <si>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</si>
  <si>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</si>
  <si>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</si>
  <si>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</si>
  <si>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</si>
  <si>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</si>
  <si>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</si>
  <si>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</si>
  <si>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</si>
  <si>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</si>
  <si>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</si>
  <si>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</si>
  <si>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</si>
  <si>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</si>
  <si>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</si>
  <si>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</si>
  <si>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</si>
  <si>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</si>
  <si>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</si>
  <si>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</si>
  <si>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</si>
  <si>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</si>
  <si>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</si>
  <si>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</si>
  <si>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</si>
  <si>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</si>
  <si>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</si>
  <si>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</si>
  <si>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</si>
  <si>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</si>
  <si>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</si>
  <si>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</si>
  <si>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</si>
  <si>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</si>
  <si>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</si>
  <si>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</si>
  <si>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</si>
  <si>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</si>
  <si>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</si>
  <si>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</si>
  <si>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</si>
  <si>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</si>
  <si>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</si>
  <si>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</si>
  <si>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</si>
  <si>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</si>
  <si>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</si>
  <si>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</si>
  <si>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</si>
  <si>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</si>
  <si>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</si>
  <si>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</si>
  <si>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</si>
  <si>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</si>
  <si>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</si>
  <si>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</si>
  <si>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</si>
  <si>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</si>
  <si>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</si>
  <si>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</si>
  <si>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</si>
  <si>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</si>
  <si>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</si>
  <si>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</si>
  <si>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</si>
  <si>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</si>
  <si>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</si>
  <si>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</si>
  <si>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</si>
  <si>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</si>
  <si>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</si>
  <si>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</si>
  <si>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</si>
  <si>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</si>
  <si>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</si>
  <si>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</si>
  <si>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</si>
  <si>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</si>
  <si>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</si>
  <si>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</si>
  <si>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</si>
  <si>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</si>
  <si>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</si>
  <si>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</si>
  <si>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</si>
  <si>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</si>
  <si>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</si>
  <si>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</si>
  <si>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</si>
  <si>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</si>
  <si>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</si>
  <si>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</si>
  <si>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</si>
  <si>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</si>
  <si>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</si>
  <si>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</si>
  <si>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</si>
  <si>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</si>
  <si>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</si>
  <si>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</si>
  <si>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</si>
  <si>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</si>
  <si>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</si>
  <si>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</si>
  <si>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</si>
  <si>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</si>
  <si>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</si>
  <si>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</si>
  <si>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</si>
  <si>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</si>
  <si>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</si>
  <si>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</si>
  <si>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</si>
  <si>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</si>
  <si>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</si>
  <si>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</si>
  <si>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</si>
  <si>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</si>
  <si>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</si>
  <si>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</si>
  <si>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</si>
  <si>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</si>
  <si>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</si>
  <si>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</si>
  <si>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</si>
  <si>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</si>
  <si>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</si>
  <si>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</si>
  <si>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</si>
  <si>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</si>
  <si>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</si>
  <si>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</si>
  <si>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</si>
  <si>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</si>
  <si>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</si>
  <si>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</si>
  <si>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</si>
  <si>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</si>
  <si>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</si>
  <si>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</si>
  <si>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</si>
  <si>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</si>
  <si>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</si>
  <si>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</si>
  <si>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</si>
  <si>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</si>
  <si>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</si>
  <si>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</si>
  <si>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</si>
  <si>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</si>
  <si>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</si>
  <si>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</si>
  <si>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</si>
  <si>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</si>
  <si>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</si>
  <si>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</si>
  <si>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</si>
  <si>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</si>
  <si>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</si>
  <si>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</si>
  <si>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</si>
  <si>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</si>
  <si>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</si>
  <si>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</si>
  <si>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</si>
  <si>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</si>
  <si>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</si>
  <si>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</si>
  <si>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</si>
  <si>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</si>
  <si>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</si>
  <si>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</si>
  <si>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</si>
  <si>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</si>
  <si>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</si>
  <si>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</si>
  <si>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</si>
  <si>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</si>
  <si>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</si>
  <si>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</si>
  <si>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</si>
  <si>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</si>
  <si>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</si>
  <si>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</si>
  <si>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</si>
  <si>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</si>
  <si>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</si>
  <si>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</si>
  <si>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</si>
  <si>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</si>
  <si>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</si>
  <si>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</si>
  <si>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</si>
  <si>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</si>
  <si>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</si>
  <si>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</si>
  <si>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</si>
  <si>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</si>
  <si>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</si>
  <si>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</si>
  <si>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</si>
  <si>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</si>
  <si>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</si>
  <si>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</si>
  <si>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</si>
  <si>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</si>
  <si>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</si>
  <si>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</si>
  <si>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</si>
  <si>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</si>
  <si>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</si>
  <si>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</si>
  <si>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</si>
  <si>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</si>
  <si>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</si>
  <si>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</si>
  <si>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</si>
  <si>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</si>
  <si>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</si>
  <si>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</si>
  <si>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</si>
  <si>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</si>
  <si>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</si>
  <si>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</si>
  <si>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</si>
  <si>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</si>
  <si>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</si>
  <si>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</si>
  <si>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</si>
  <si>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</si>
  <si>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</si>
  <si>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</si>
  <si>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</si>
  <si>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</si>
  <si>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</si>
  <si>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</si>
  <si>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</si>
  <si>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</si>
  <si>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</si>
  <si>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</si>
  <si>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</si>
  <si>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</si>
  <si>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</si>
  <si>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</si>
  <si>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</si>
  <si>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</si>
  <si>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</si>
  <si>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</si>
  <si>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</si>
  <si>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</si>
  <si>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</si>
  <si>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</si>
  <si>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</si>
  <si>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</si>
  <si>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</si>
  <si>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</si>
  <si>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</si>
  <si>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</si>
  <si>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</si>
  <si>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</si>
  <si>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</si>
  <si>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</si>
  <si>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</si>
  <si>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</si>
  <si>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</si>
  <si>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</si>
  <si>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</si>
  <si>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</si>
  <si>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</si>
  <si>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</si>
  <si>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</si>
  <si>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</si>
  <si>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</si>
  <si>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</si>
  <si>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</si>
  <si>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</si>
  <si>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</si>
  <si>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</si>
  <si>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</si>
  <si>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</si>
  <si>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</si>
  <si>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</si>
  <si>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</si>
  <si>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</si>
  <si>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</si>
  <si>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</si>
  <si>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</si>
  <si>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</si>
  <si>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</si>
  <si>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</si>
  <si>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</si>
  <si>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</si>
  <si>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</si>
  <si>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</si>
  <si>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</si>
  <si>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</si>
  <si>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</si>
  <si>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</si>
  <si>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</si>
  <si>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</si>
  <si>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</si>
  <si>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</si>
  <si>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</si>
  <si>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</si>
  <si>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</si>
  <si>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</si>
  <si>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</si>
  <si>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</si>
  <si>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</si>
  <si>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</si>
  <si>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</si>
  <si>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</si>
  <si>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</si>
  <si>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</si>
  <si>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</si>
  <si>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</si>
  <si>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</si>
  <si>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</si>
  <si>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</si>
  <si>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</si>
  <si>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</si>
  <si>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</si>
  <si>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</si>
  <si>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</si>
  <si>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</si>
  <si>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</si>
  <si>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</si>
  <si>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</si>
  <si>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</si>
  <si>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</si>
  <si>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</si>
  <si>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</si>
  <si>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</si>
  <si>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</si>
  <si>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</si>
  <si>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</si>
  <si>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</si>
  <si>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</si>
  <si>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</si>
  <si>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</si>
  <si>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</si>
  <si>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</si>
  <si>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</si>
  <si>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</si>
  <si>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</si>
  <si>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</si>
  <si>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</si>
  <si>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</si>
  <si>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</si>
  <si>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</si>
  <si>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</si>
  <si>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</si>
  <si>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</si>
  <si>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</si>
  <si>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</si>
  <si>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</si>
  <si>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</si>
  <si>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</si>
  <si>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</si>
  <si>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</si>
  <si>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</si>
  <si>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</si>
  <si>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</si>
  <si>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</si>
  <si>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</si>
  <si>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</si>
  <si>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</si>
  <si>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</si>
  <si>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</si>
  <si>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</si>
  <si>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</si>
  <si>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</si>
  <si>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</si>
  <si>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</si>
  <si>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</si>
  <si>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</si>
  <si>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</si>
  <si>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</si>
  <si>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</si>
  <si>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</si>
  <si>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</si>
  <si>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</si>
  <si>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</si>
  <si>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</si>
  <si>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</si>
  <si>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</si>
  <si>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</si>
  <si>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</si>
  <si>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</si>
  <si>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</si>
  <si>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</si>
  <si>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</si>
  <si>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</si>
  <si>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</si>
  <si>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</si>
  <si>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</si>
  <si>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</si>
  <si>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</si>
  <si>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</si>
  <si>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</si>
  <si>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</si>
  <si>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</si>
  <si>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</si>
  <si>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</si>
  <si>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</si>
  <si>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</si>
  <si>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</si>
  <si>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</si>
  <si>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</si>
  <si>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</si>
  <si>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</si>
  <si>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</si>
  <si>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</si>
  <si>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</si>
  <si>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</si>
  <si>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</si>
  <si>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</si>
  <si>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</si>
  <si>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</si>
  <si>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</si>
  <si>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</si>
  <si>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</si>
  <si>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</si>
  <si>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</si>
  <si>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</si>
  <si>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</si>
  <si>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</si>
  <si>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</si>
  <si>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</si>
  <si>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</si>
  <si>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</si>
  <si>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</si>
  <si>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</si>
  <si>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</si>
  <si>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</si>
  <si>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</si>
  <si>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</si>
  <si>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</si>
  <si>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</si>
  <si>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</si>
  <si>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</si>
  <si>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</si>
  <si>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</si>
  <si>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</si>
  <si>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</si>
  <si>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</si>
  <si>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</si>
  <si>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</si>
  <si>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</si>
  <si>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</si>
  <si>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</si>
  <si>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</si>
  <si>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</si>
  <si>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</si>
  <si>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</si>
  <si>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</si>
  <si>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</si>
  <si>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</si>
  <si>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</si>
  <si>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</si>
  <si>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</si>
  <si>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</si>
  <si>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</si>
  <si>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</si>
  <si>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</si>
  <si>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</si>
  <si>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</si>
  <si>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</si>
  <si>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</si>
  <si>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</si>
  <si>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</si>
  <si>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</si>
  <si>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</si>
  <si>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</si>
  <si>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</si>
  <si>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</si>
  <si>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</si>
  <si>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</si>
  <si>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</si>
  <si>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</si>
  <si>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</si>
  <si>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</si>
  <si>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</si>
  <si>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</si>
  <si>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</si>
  <si>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</si>
  <si>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</si>
  <si>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</si>
  <si>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</si>
  <si>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</si>
  <si>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</si>
  <si>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</si>
  <si>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</si>
  <si>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</si>
  <si>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</si>
  <si>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</si>
  <si>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</si>
  <si>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</si>
  <si>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</si>
  <si>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</si>
  <si>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</si>
  <si>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</si>
  <si>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</si>
  <si>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</si>
  <si>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</si>
  <si>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</si>
  <si>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</si>
  <si>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</si>
  <si>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</si>
  <si>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</si>
  <si>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</si>
  <si>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</si>
  <si>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</si>
  <si>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</si>
  <si>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</si>
  <si>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</si>
  <si>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</si>
  <si>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</si>
  <si>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</si>
  <si>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</si>
  <si>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</si>
  <si>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</si>
  <si>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</si>
  <si>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</si>
  <si>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</si>
  <si>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</si>
  <si>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</si>
  <si>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</si>
  <si>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</si>
  <si>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</si>
  <si>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</si>
  <si>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</si>
  <si>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</si>
  <si>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</si>
  <si>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</si>
  <si>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</si>
  <si>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</si>
  <si>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</si>
  <si>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</si>
  <si>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</si>
  <si>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</si>
  <si>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</si>
  <si>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</si>
  <si>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</si>
  <si>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</si>
  <si>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</si>
  <si>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</si>
  <si>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</si>
  <si>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</si>
  <si>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</si>
  <si>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</si>
  <si>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</si>
  <si>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</si>
  <si>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</si>
  <si>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</si>
  <si>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</si>
  <si>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</si>
  <si>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</si>
  <si>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</si>
  <si>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</si>
  <si>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</si>
  <si>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</si>
  <si>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</si>
  <si>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</si>
  <si>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</si>
  <si>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</si>
  <si>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</si>
  <si>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</si>
  <si>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</si>
  <si>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</si>
  <si>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</si>
  <si>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</si>
  <si>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</si>
  <si>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</si>
  <si>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</si>
  <si>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</si>
  <si>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</si>
  <si>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</si>
  <si>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</si>
  <si>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</si>
  <si>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</si>
  <si>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</si>
  <si>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</si>
  <si>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</si>
  <si>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</si>
  <si>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</si>
  <si>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</si>
  <si>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</si>
  <si>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</si>
  <si>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</si>
  <si>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</si>
  <si>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</si>
  <si>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</si>
  <si>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</si>
  <si>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</si>
  <si>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</si>
  <si>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</si>
  <si>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</si>
  <si>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</si>
  <si>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</si>
  <si>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</si>
  <si>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</si>
  <si>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</si>
  <si>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</si>
  <si>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</si>
  <si>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</si>
  <si>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</si>
  <si>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</si>
  <si>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</si>
  <si>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</si>
  <si>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</si>
  <si>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</si>
  <si>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</si>
  <si>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</si>
  <si>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</si>
  <si>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</si>
  <si>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</si>
  <si>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</si>
  <si>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</si>
  <si>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</si>
  <si>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</si>
  <si>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</si>
  <si>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</si>
  <si>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</si>
  <si>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</si>
  <si>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</si>
  <si>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</si>
  <si>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</si>
  <si>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</si>
  <si>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</si>
  <si>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</si>
  <si>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</si>
  <si>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</si>
  <si>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</si>
  <si>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</si>
  <si>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</si>
  <si>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</si>
  <si>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</si>
  <si>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</si>
  <si>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</si>
  <si>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</si>
  <si>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</si>
  <si>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</si>
  <si>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</si>
  <si>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</si>
  <si>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</si>
  <si>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</si>
  <si>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</si>
  <si>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</si>
  <si>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</si>
  <si>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</si>
  <si>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</si>
  <si>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</si>
  <si>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</si>
  <si>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</si>
  <si>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</si>
  <si>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</si>
  <si>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</si>
  <si>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</si>
  <si>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</si>
  <si>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</si>
  <si>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</si>
  <si>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</si>
  <si>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</si>
  <si>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</si>
  <si>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</si>
  <si>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</si>
  <si>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</si>
  <si>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</si>
  <si>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</si>
  <si>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</si>
  <si>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</si>
  <si>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</si>
  <si>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</si>
  <si>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</si>
  <si>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</si>
  <si>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</si>
  <si>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</si>
  <si>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</si>
  <si>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</si>
  <si>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</si>
  <si>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</si>
  <si>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</si>
  <si>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</si>
  <si>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</si>
  <si>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</si>
  <si>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</si>
  <si>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</si>
  <si>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</si>
  <si>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</si>
  <si>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</si>
  <si>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</si>
  <si>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</si>
  <si>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</si>
  <si>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</si>
  <si>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</si>
  <si>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</si>
  <si>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</si>
  <si>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</si>
  <si>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</si>
  <si>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</si>
  <si>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</si>
  <si>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</si>
  <si>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</si>
  <si>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</si>
  <si>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</si>
  <si>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</si>
  <si>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</si>
  <si>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</si>
  <si>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</si>
  <si>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</si>
  <si>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</si>
  <si>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</si>
  <si>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</si>
  <si>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</si>
  <si>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</si>
  <si>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</si>
  <si>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</si>
  <si>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</si>
  <si>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</si>
  <si>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</si>
  <si>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</si>
  <si>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</si>
  <si>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</si>
  <si>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</si>
  <si>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</si>
  <si>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</si>
  <si>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</si>
  <si>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</si>
  <si>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</si>
  <si>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</si>
  <si>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</si>
  <si>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</si>
  <si>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</si>
  <si>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</si>
  <si>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</si>
  <si>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</si>
  <si>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</si>
  <si>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</si>
  <si>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</si>
  <si>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</si>
  <si>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</si>
  <si>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</si>
  <si>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</si>
  <si>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</si>
  <si>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</si>
  <si>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</si>
  <si>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</si>
  <si>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</si>
  <si>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</si>
  <si>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</si>
  <si>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</si>
  <si>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</si>
  <si>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</si>
  <si>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</si>
  <si>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</si>
  <si>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</si>
  <si>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</si>
  <si>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</si>
  <si>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</si>
  <si>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</si>
  <si>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</si>
  <si>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</si>
  <si>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</si>
  <si>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</si>
  <si>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</si>
  <si>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</si>
  <si>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</si>
  <si>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</si>
  <si>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</si>
  <si>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</si>
  <si>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</si>
  <si>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</si>
  <si>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</si>
  <si>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</si>
  <si>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</si>
  <si>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</si>
  <si>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</si>
  <si>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</si>
  <si>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</si>
  <si>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</si>
  <si>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</si>
  <si>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</si>
  <si>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</si>
  <si>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</si>
  <si>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</si>
  <si>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</si>
  <si>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</si>
  <si>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</si>
  <si>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</si>
  <si>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</si>
  <si>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</si>
  <si>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</si>
  <si>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</si>
  <si>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</si>
  <si>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</si>
  <si>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</si>
  <si>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</si>
  <si>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</si>
  <si>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</si>
  <si>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</si>
  <si>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</si>
  <si>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</si>
  <si>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</si>
  <si>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</si>
  <si>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</si>
  <si>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</si>
  <si>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</si>
  <si>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</si>
  <si>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</si>
  <si>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</si>
  <si>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</si>
  <si>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</si>
  <si>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</si>
  <si>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</si>
  <si>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</si>
  <si>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</si>
  <si>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</si>
  <si>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</si>
  <si>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</si>
  <si>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</si>
  <si>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</si>
  <si>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</si>
  <si>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</si>
  <si>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</si>
  <si>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</si>
  <si>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</si>
  <si>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</si>
  <si>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</si>
  <si>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</si>
  <si>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</si>
  <si>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</si>
  <si>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</si>
  <si>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</si>
  <si>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</si>
  <si>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</si>
  <si>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</si>
  <si>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</si>
  <si>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</si>
  <si>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</si>
  <si>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</si>
  <si>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</si>
  <si>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</si>
  <si>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</si>
  <si>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</si>
  <si>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</si>
  <si>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</si>
  <si>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</si>
  <si>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</si>
  <si>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</si>
  <si>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</si>
  <si>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</si>
  <si>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</si>
  <si>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</si>
  <si>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</si>
  <si>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</si>
  <si>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</si>
  <si>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</si>
  <si>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</si>
  <si>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</si>
  <si>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</si>
  <si>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</si>
  <si>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</si>
  <si>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</si>
  <si>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</si>
  <si>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</si>
  <si>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</si>
  <si>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</si>
  <si>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</si>
  <si>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</si>
  <si>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</si>
  <si>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</si>
  <si>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</si>
  <si>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</si>
  <si>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</si>
  <si>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</si>
  <si>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</si>
  <si>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</si>
  <si>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</si>
  <si>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</si>
  <si>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</si>
  <si>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</si>
  <si>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</si>
  <si>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</si>
  <si>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</si>
  <si>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</si>
  <si>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</si>
  <si>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</si>
  <si>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</si>
  <si>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</si>
  <si>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</si>
  <si>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</si>
  <si>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</si>
  <si>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</si>
  <si>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</si>
  <si>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</si>
  <si>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</si>
  <si>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</si>
  <si>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</si>
  <si>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</si>
  <si>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</si>
  <si>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</si>
  <si>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</si>
  <si>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</si>
  <si>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</si>
  <si>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</si>
  <si>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</si>
  <si>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</si>
  <si>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</si>
  <si>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</si>
  <si>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</si>
  <si>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</si>
  <si>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</si>
  <si>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</si>
  <si>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</si>
  <si>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</si>
  <si>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</si>
  <si>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</si>
  <si>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</si>
  <si>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</si>
  <si>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</si>
  <si>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</si>
  <si>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</si>
  <si>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</si>
  <si>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</si>
  <si>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</si>
  <si>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</si>
  <si>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</si>
  <si>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</si>
  <si>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</si>
  <si>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</si>
  <si>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</si>
  <si>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</si>
  <si>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</si>
  <si>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</si>
  <si>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</si>
  <si>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</si>
  <si>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</si>
  <si>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</si>
  <si>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</si>
  <si>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</si>
  <si>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</si>
  <si>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</si>
  <si>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</si>
  <si>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</si>
  <si>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</si>
  <si>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</si>
  <si>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</si>
  <si>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</si>
  <si>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</si>
  <si>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</si>
  <si>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</si>
  <si>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</si>
  <si>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</si>
  <si>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</si>
  <si>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</si>
  <si>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</si>
  <si>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</si>
  <si>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</si>
  <si>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</si>
  <si>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</si>
  <si>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</si>
  <si>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</si>
  <si>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</si>
  <si>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</si>
  <si>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</si>
  <si>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</si>
  <si>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</si>
  <si>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</si>
  <si>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</si>
  <si>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</si>
  <si>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</si>
  <si>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</si>
  <si>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</si>
  <si>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</si>
  <si>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</si>
  <si>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</si>
  <si>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</si>
  <si>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</si>
  <si>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</si>
  <si>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</si>
  <si>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</si>
  <si>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</si>
  <si>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</si>
  <si>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</si>
  <si>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</si>
  <si>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</si>
  <si>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</si>
  <si>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</si>
  <si>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</si>
  <si>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</si>
  <si>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</si>
  <si>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</si>
  <si>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</si>
  <si>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</si>
  <si>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</si>
  <si>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</si>
  <si>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</si>
  <si>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</si>
  <si>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</si>
  <si>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</si>
  <si>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</si>
  <si>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</si>
  <si>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</si>
  <si>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</si>
  <si>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</si>
  <si>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</si>
  <si>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</si>
  <si>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</si>
  <si>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</si>
  <si>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</si>
  <si>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</si>
  <si>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</si>
  <si>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</si>
  <si>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</si>
  <si>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</si>
  <si>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</si>
  <si>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</si>
  <si>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</si>
  <si>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</si>
  <si>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</si>
  <si>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</si>
  <si>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</si>
  <si>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</si>
  <si>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</si>
  <si>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</si>
  <si>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</si>
  <si>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</si>
  <si>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</si>
  <si>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</si>
  <si>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</si>
  <si>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</si>
  <si>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</si>
  <si>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</si>
  <si>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</si>
  <si>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</si>
  <si>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</si>
  <si>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</si>
  <si>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</si>
  <si>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</si>
  <si>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</si>
  <si>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</si>
  <si>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</si>
  <si>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</si>
  <si>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</si>
  <si>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</si>
  <si>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</si>
  <si>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</si>
  <si>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</si>
  <si>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</si>
  <si>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</si>
  <si>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</si>
  <si>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</si>
  <si>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</si>
  <si>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</si>
  <si>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</si>
  <si>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</si>
  <si>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</si>
  <si>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</si>
  <si>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</si>
  <si>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</si>
  <si>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</si>
  <si>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</si>
  <si>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</si>
  <si>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</si>
  <si>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</si>
  <si>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</si>
  <si>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</si>
  <si>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</si>
  <si>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</si>
  <si>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</si>
  <si>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</si>
  <si>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</si>
  <si>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</si>
  <si>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</si>
  <si>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</si>
  <si>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</si>
  <si>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</si>
  <si>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</si>
  <si>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</si>
  <si>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</si>
  <si>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</si>
  <si>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</si>
  <si>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</si>
  <si>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</si>
  <si>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</si>
  <si>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</si>
  <si>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</si>
  <si>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</si>
  <si>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</si>
  <si>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</si>
  <si>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</si>
  <si>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</si>
  <si>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</si>
  <si>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</si>
  <si>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</si>
  <si>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</si>
  <si>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</si>
  <si>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</si>
  <si>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</si>
  <si>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</si>
  <si>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</si>
  <si>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</si>
  <si>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</si>
  <si>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</si>
  <si>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</si>
  <si>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</si>
  <si>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</si>
  <si>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</si>
  <si>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</si>
  <si>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</si>
  <si>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</si>
  <si>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</si>
  <si>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</si>
  <si>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</si>
  <si>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</si>
  <si>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</si>
  <si>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</si>
  <si>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</si>
  <si>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</si>
  <si>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</si>
  <si>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</si>
  <si>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</si>
  <si>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</si>
  <si>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</si>
  <si>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</si>
  <si>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</si>
  <si>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</si>
  <si>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</si>
  <si>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</si>
  <si>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</si>
  <si>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</si>
  <si>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</si>
  <si>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</si>
  <si>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</si>
  <si>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</si>
  <si>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</si>
  <si>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</si>
  <si>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</si>
  <si>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</si>
  <si>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</si>
  <si>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</si>
  <si>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</si>
  <si>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</si>
  <si>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</si>
  <si>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</si>
  <si>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</si>
  <si>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</si>
  <si>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</si>
  <si>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</si>
  <si>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</si>
  <si>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</si>
  <si>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</si>
  <si>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</si>
  <si>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</si>
  <si>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</si>
  <si>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</si>
  <si>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</si>
  <si>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</si>
  <si>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</si>
  <si>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</si>
  <si>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</si>
  <si>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</si>
  <si>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</si>
  <si>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</si>
  <si>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</si>
  <si>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</si>
  <si>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</si>
  <si>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</si>
  <si>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</si>
  <si>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</si>
  <si>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</si>
  <si>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</si>
  <si>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</si>
  <si>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</si>
  <si>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</si>
  <si>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</si>
  <si>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</si>
  <si>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</si>
  <si>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</si>
  <si>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</si>
  <si>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</si>
  <si>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</si>
  <si>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</si>
  <si>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</si>
  <si>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</si>
  <si>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</si>
  <si>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</si>
  <si>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</si>
  <si>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</si>
  <si>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</si>
  <si>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</si>
  <si>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</si>
  <si>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</si>
  <si>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</si>
  <si>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</si>
  <si>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</si>
  <si>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</si>
  <si>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</si>
  <si>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</si>
  <si>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</si>
  <si>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</si>
  <si>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</si>
  <si>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</si>
  <si>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</si>
  <si>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</si>
  <si>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</si>
  <si>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</si>
  <si>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</si>
  <si>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</si>
  <si>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</si>
  <si>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</si>
  <si>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</si>
  <si>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</si>
  <si>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</si>
  <si>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</si>
  <si>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</si>
  <si>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</si>
  <si>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</si>
  <si>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</si>
  <si>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</si>
  <si>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</si>
  <si>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</si>
  <si>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</si>
  <si>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</si>
  <si>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</si>
  <si>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</si>
  <si>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</si>
  <si>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</si>
  <si>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</si>
  <si>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</si>
  <si>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</si>
  <si>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</si>
  <si>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</si>
  <si>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</si>
  <si>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</si>
  <si>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</si>
  <si>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</si>
  <si>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</si>
  <si>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</si>
  <si>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</si>
  <si>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</si>
  <si>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</si>
  <si>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</si>
  <si>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</si>
  <si>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</si>
  <si>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</si>
  <si>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</si>
  <si>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</si>
  <si>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</si>
  <si>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</si>
  <si>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</si>
  <si>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</si>
  <si>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</si>
  <si>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</si>
  <si>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</si>
  <si>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</si>
  <si>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</si>
  <si>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</si>
  <si>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</si>
  <si>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</si>
  <si>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</si>
  <si>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</si>
  <si>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</si>
  <si>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</si>
  <si>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</si>
  <si>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</si>
  <si>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</si>
  <si>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</si>
  <si>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</si>
  <si>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</si>
  <si>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</si>
  <si>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</si>
  <si>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</si>
  <si>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</si>
  <si>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</si>
  <si>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</si>
  <si>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</si>
  <si>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</si>
  <si>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</si>
  <si>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</si>
  <si>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</si>
  <si>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</si>
  <si>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</si>
  <si>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</si>
  <si>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</si>
  <si>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</si>
  <si>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</si>
  <si>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</si>
  <si>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</si>
  <si>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</si>
  <si>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</si>
  <si>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</si>
  <si>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</si>
  <si>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</si>
  <si>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</si>
  <si>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</si>
  <si>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</si>
  <si>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</si>
  <si>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</si>
  <si>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</si>
  <si>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</si>
  <si>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</si>
  <si>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</si>
  <si>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</si>
  <si>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</si>
  <si>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</si>
  <si>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</si>
  <si>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</si>
  <si>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</si>
  <si>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</si>
  <si>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</si>
  <si>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</si>
  <si>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</si>
  <si>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</si>
  <si>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</si>
  <si>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</si>
  <si>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</si>
  <si>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</si>
  <si>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</si>
  <si>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</si>
  <si>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</si>
  <si>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</si>
  <si>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</si>
  <si>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</si>
  <si>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</si>
  <si>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</si>
  <si>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</si>
  <si>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</si>
  <si>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</si>
  <si>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</si>
  <si>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</si>
  <si>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</si>
  <si>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</si>
  <si>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</si>
  <si>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</si>
  <si>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</si>
  <si>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</si>
  <si>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</si>
  <si>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</si>
  <si>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</si>
  <si>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</si>
  <si>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</si>
  <si>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</si>
  <si>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</si>
  <si>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</si>
  <si>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</si>
  <si>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</si>
  <si>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</si>
  <si>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</si>
  <si>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</si>
  <si>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</si>
  <si>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</si>
  <si>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</si>
  <si>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</si>
  <si>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</si>
  <si>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</si>
  <si>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</si>
  <si>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</si>
  <si>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</si>
  <si>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</si>
  <si>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</si>
  <si>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</si>
  <si>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</si>
  <si>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</si>
  <si>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</si>
  <si>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</si>
  <si>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</si>
  <si>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</si>
  <si>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</si>
  <si>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</si>
  <si>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</si>
  <si>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</si>
  <si>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</si>
  <si>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</si>
  <si>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</si>
  <si>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</si>
  <si>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</si>
  <si>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</si>
  <si>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</si>
  <si>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</si>
  <si>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</si>
  <si>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</si>
  <si>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</si>
  <si>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</si>
  <si>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</si>
  <si>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</si>
  <si>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</si>
  <si>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</si>
  <si>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</si>
  <si>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</si>
  <si>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</si>
  <si>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</si>
  <si>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</si>
  <si>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</si>
  <si>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</si>
  <si>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</si>
  <si>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</si>
  <si>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</si>
  <si>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</si>
  <si>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</si>
  <si>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</si>
  <si>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</si>
  <si>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</si>
  <si>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</si>
  <si>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</si>
  <si>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</si>
  <si>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</si>
  <si>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</si>
  <si>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</si>
  <si>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</si>
  <si>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</si>
  <si>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</si>
  <si>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</si>
  <si>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</si>
  <si>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</si>
  <si>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</si>
  <si>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</si>
  <si>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</si>
  <si>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</si>
  <si>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</si>
  <si>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</si>
  <si>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</si>
  <si>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</si>
  <si>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</si>
  <si>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</si>
  <si>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</si>
  <si>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</si>
  <si>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</si>
  <si>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</si>
  <si>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</si>
  <si>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</si>
  <si>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</si>
  <si>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</si>
  <si>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</si>
  <si>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</si>
  <si>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</si>
  <si>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</si>
  <si>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</si>
  <si>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</si>
  <si>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</si>
  <si>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</si>
  <si>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</si>
  <si>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</si>
  <si>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</si>
  <si>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</si>
  <si>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</si>
  <si>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</si>
  <si>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</si>
  <si>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</si>
  <si>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</si>
  <si>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</si>
  <si>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</si>
  <si>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</si>
  <si>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</si>
  <si>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</si>
  <si>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</si>
  <si>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</si>
  <si>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</si>
  <si>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</si>
  <si>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</si>
  <si>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</si>
  <si>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</si>
  <si>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</si>
  <si>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</si>
  <si>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</si>
  <si>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</si>
  <si>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</si>
  <si>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</si>
  <si>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</si>
  <si>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</si>
  <si>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</si>
  <si>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</si>
  <si>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</si>
  <si>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</si>
  <si>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</si>
  <si>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</si>
  <si>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</si>
  <si>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</si>
  <si>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</si>
  <si>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</si>
  <si>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</si>
  <si>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</si>
  <si>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</si>
  <si>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</si>
  <si>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</si>
  <si>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</si>
  <si>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</si>
  <si>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</si>
  <si>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</si>
  <si>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</si>
  <si>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</si>
  <si>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</si>
  <si>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</si>
  <si>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</si>
  <si>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</si>
  <si>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</si>
  <si>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</si>
  <si>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</si>
  <si>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</si>
  <si>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</si>
  <si>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</si>
  <si>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</si>
  <si>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</si>
  <si>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</si>
  <si>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</si>
  <si>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</si>
  <si>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</si>
  <si>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</si>
  <si>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</si>
  <si>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</si>
  <si>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</si>
  <si>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</si>
  <si>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</si>
  <si>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</si>
  <si>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</si>
  <si>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</si>
  <si>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</si>
  <si>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</si>
  <si>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</si>
  <si>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</si>
  <si>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</si>
  <si>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</si>
  <si>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</si>
  <si>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</si>
  <si>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</si>
  <si>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</si>
  <si>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</si>
  <si>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</si>
  <si>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</si>
  <si>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</si>
  <si>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</si>
  <si>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</si>
  <si>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</si>
  <si>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</si>
  <si>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</si>
  <si>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</si>
  <si>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</si>
  <si>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</si>
  <si>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</si>
  <si>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</si>
  <si>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</si>
  <si>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</si>
  <si>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</si>
  <si>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</si>
  <si>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</si>
  <si>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</si>
  <si>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</si>
  <si>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</si>
  <si>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</si>
  <si>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</si>
  <si>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</si>
  <si>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</si>
  <si>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</si>
  <si>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</si>
  <si>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</si>
  <si>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</si>
  <si>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</si>
  <si>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</si>
  <si>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</si>
  <si>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</si>
  <si>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</si>
  <si>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</si>
  <si>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</si>
  <si>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</si>
  <si>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</si>
  <si>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</si>
  <si>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</si>
  <si>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</si>
  <si>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</si>
  <si>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</si>
  <si>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</si>
  <si>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</si>
  <si>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</si>
  <si>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</si>
  <si>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</si>
  <si>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</si>
  <si>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</si>
  <si>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</si>
  <si>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</si>
  <si>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</si>
  <si>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</si>
  <si>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</si>
  <si>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</si>
  <si>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</si>
  <si>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</si>
  <si>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</si>
  <si>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</si>
  <si>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</si>
  <si>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</si>
  <si>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</si>
  <si>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</si>
  <si>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</si>
  <si>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</si>
  <si>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</si>
  <si>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</si>
  <si>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</si>
  <si>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</si>
  <si>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</si>
  <si>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</si>
  <si>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</si>
  <si>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</si>
  <si>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</si>
  <si>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</si>
  <si>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</si>
  <si>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</si>
  <si>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</si>
  <si>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</si>
  <si>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</si>
  <si>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</si>
  <si>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</si>
  <si>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</si>
  <si>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</si>
  <si>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</si>
  <si>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</si>
  <si>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</si>
  <si>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</si>
  <si>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</si>
  <si>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</si>
  <si>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</si>
  <si>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</si>
  <si>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</si>
  <si>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</si>
  <si>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</si>
  <si>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</si>
  <si>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</si>
  <si>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</si>
  <si>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</si>
  <si>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</si>
  <si>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</si>
  <si>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</si>
  <si>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</si>
  <si>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</si>
  <si>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</si>
  <si>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</si>
  <si>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</si>
  <si>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</si>
  <si>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</si>
  <si>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</si>
  <si>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</si>
  <si>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</si>
  <si>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</si>
  <si>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</si>
  <si>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</si>
  <si>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</si>
  <si>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</si>
  <si>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</si>
  <si>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</si>
  <si>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</si>
  <si>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</si>
  <si>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</si>
  <si>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</si>
  <si>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</si>
  <si>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</si>
  <si>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</si>
  <si>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</si>
  <si>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</si>
  <si>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</si>
  <si>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</si>
  <si>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</si>
  <si>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</si>
  <si>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</si>
  <si>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</si>
  <si>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</si>
  <si>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</si>
  <si>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</si>
  <si>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</si>
  <si>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</si>
  <si>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</si>
  <si>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</si>
  <si>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</si>
  <si>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</si>
  <si>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</si>
  <si>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</si>
  <si>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</si>
  <si>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</si>
  <si>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</si>
  <si>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</si>
  <si>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</si>
  <si>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</si>
  <si>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</si>
  <si>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</si>
  <si>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</si>
  <si>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</si>
  <si>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</si>
  <si>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</si>
  <si>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</si>
  <si>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</si>
  <si>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</si>
  <si>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</si>
  <si>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</si>
  <si>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</si>
  <si>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</si>
  <si>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</si>
  <si>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</si>
  <si>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</si>
  <si>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</si>
  <si>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</si>
  <si>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</si>
  <si>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</si>
  <si>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</si>
  <si>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</si>
  <si>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</si>
  <si>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</si>
  <si>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</si>
  <si>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</si>
  <si>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</si>
  <si>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</si>
  <si>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</si>
  <si>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</si>
  <si>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</si>
  <si>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</si>
  <si>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</si>
  <si>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</si>
  <si>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</si>
  <si>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</si>
  <si>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</si>
  <si>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</si>
  <si>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</si>
  <si>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</si>
  <si>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</si>
  <si>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</si>
  <si>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</si>
  <si>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</si>
  <si>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</si>
  <si>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</si>
  <si>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</si>
  <si>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</si>
  <si>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</si>
  <si>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</si>
  <si>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</si>
  <si>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</si>
  <si>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</si>
  <si>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</si>
  <si>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</si>
  <si>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</si>
  <si>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</si>
  <si>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</si>
  <si>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</si>
  <si>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</si>
  <si>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</si>
  <si>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</si>
  <si>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</si>
  <si>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</si>
  <si>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</si>
  <si>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</si>
  <si>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</si>
  <si>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</si>
  <si>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</si>
  <si>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</si>
  <si>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</si>
  <si>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</si>
  <si>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</si>
  <si>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</si>
  <si>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</si>
  <si>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</si>
  <si>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</si>
  <si>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</si>
  <si>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</si>
  <si>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</si>
  <si>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</si>
  <si>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</si>
  <si>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</si>
  <si>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</si>
  <si>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</si>
  <si>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</si>
  <si>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</si>
  <si>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</si>
  <si>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</si>
  <si>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</si>
  <si>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</si>
  <si>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</si>
  <si>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</si>
  <si>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</si>
  <si>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</si>
  <si>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</si>
  <si>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</si>
  <si>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</si>
  <si>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</si>
  <si>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</si>
  <si>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</si>
  <si>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</si>
  <si>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</si>
  <si>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</si>
  <si>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</si>
  <si>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</si>
  <si>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</si>
  <si>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</si>
  <si>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</si>
  <si>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</si>
  <si>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</si>
  <si>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</si>
  <si>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</si>
  <si>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</si>
  <si>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</si>
  <si>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</si>
  <si>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</si>
  <si>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</si>
  <si>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</si>
  <si>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</si>
  <si>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</si>
  <si>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</si>
  <si>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</si>
  <si>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</si>
  <si>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</si>
  <si>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</si>
  <si>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</si>
  <si>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</si>
  <si>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</si>
  <si>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</si>
  <si>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</si>
  <si>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</si>
  <si>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</si>
  <si>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</si>
  <si>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</si>
  <si>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</si>
  <si>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</si>
  <si>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</si>
  <si>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</si>
  <si>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</si>
  <si>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</si>
  <si>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</si>
  <si>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</si>
  <si>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</si>
  <si>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</si>
  <si>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</si>
  <si>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</si>
  <si>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</si>
  <si>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</si>
  <si>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</si>
  <si>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</si>
  <si>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</si>
  <si>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</si>
  <si>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</si>
  <si>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</si>
  <si>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</si>
  <si>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</si>
  <si>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</si>
  <si>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</si>
  <si>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</si>
  <si>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</si>
  <si>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</si>
  <si>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</si>
  <si>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</si>
  <si>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</si>
  <si>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</si>
  <si>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</si>
  <si>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</si>
  <si>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</si>
  <si>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</si>
  <si>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</si>
  <si>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</si>
  <si>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</si>
  <si>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</si>
  <si>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</si>
  <si>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</si>
  <si>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</si>
  <si>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</si>
  <si>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</si>
  <si>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</si>
  <si>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</si>
  <si>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</si>
  <si>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</si>
  <si>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</si>
  <si>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</si>
  <si>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</si>
  <si>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</si>
  <si>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</si>
  <si>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</si>
  <si>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</si>
  <si>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</si>
  <si>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</si>
  <si>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</si>
  <si>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</si>
  <si>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</si>
  <si>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</si>
  <si>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</si>
  <si>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</si>
  <si>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</si>
  <si>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</si>
  <si>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</si>
  <si>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</si>
  <si>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</si>
  <si>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</si>
  <si>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</si>
  <si>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</si>
  <si>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</si>
  <si>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</si>
  <si>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</si>
  <si>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</si>
  <si>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</si>
  <si>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</si>
  <si>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</si>
  <si>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</si>
  <si>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</si>
  <si>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</si>
  <si>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</si>
  <si>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</si>
  <si>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</si>
  <si>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</si>
  <si>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</si>
  <si>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</si>
  <si>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</si>
  <si>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</si>
  <si>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</si>
  <si>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</si>
  <si>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</si>
  <si>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</si>
  <si>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</si>
  <si>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</si>
  <si>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</si>
  <si>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</si>
  <si>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</si>
  <si>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</si>
  <si>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</si>
  <si>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</si>
  <si>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</si>
  <si>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</si>
  <si>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</si>
  <si>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</si>
  <si>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</si>
  <si>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</si>
  <si>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</si>
  <si>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</si>
  <si>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</si>
  <si>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</si>
  <si>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</si>
  <si>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</si>
  <si>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</si>
  <si>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</si>
  <si>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</si>
  <si>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</si>
  <si>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</si>
  <si>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</si>
  <si>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</si>
  <si>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</si>
  <si>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</si>
  <si>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</si>
  <si>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</si>
  <si>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</si>
  <si>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</si>
  <si>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</si>
  <si>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</si>
  <si>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</si>
  <si>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</si>
  <si>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</si>
  <si>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</si>
  <si>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</si>
  <si>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</si>
  <si>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</si>
  <si>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</si>
  <si>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</si>
  <si>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</si>
  <si>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</si>
  <si>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</si>
  <si>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</si>
  <si>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</si>
  <si>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</si>
  <si>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</si>
  <si>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</si>
  <si>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</si>
  <si>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</si>
  <si>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</si>
  <si>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</si>
  <si>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</si>
  <si>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</si>
  <si>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</si>
  <si>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</si>
  <si>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</si>
  <si>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</si>
  <si>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</si>
  <si>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</si>
  <si>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</si>
  <si>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</si>
  <si>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</si>
  <si>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</si>
  <si>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</si>
  <si>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</si>
  <si>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</si>
  <si>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</si>
  <si>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</si>
  <si>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</si>
  <si>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</si>
  <si>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</si>
  <si>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</si>
  <si>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</si>
  <si>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</si>
  <si>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</si>
  <si>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</si>
  <si>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</si>
  <si>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</si>
  <si>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</si>
  <si>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</si>
  <si>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</si>
  <si>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</si>
  <si>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</si>
  <si>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</si>
  <si>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</si>
  <si>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</si>
  <si>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</si>
  <si>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</si>
  <si>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</si>
  <si>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</si>
  <si>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</si>
  <si>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</si>
  <si>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</si>
  <si>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</si>
  <si>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</si>
  <si>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</si>
  <si>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</si>
  <si>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</si>
  <si>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</si>
  <si>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</si>
  <si>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</si>
  <si>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</si>
  <si>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</si>
  <si>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</si>
  <si>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</si>
  <si>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</si>
  <si>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</si>
  <si>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</si>
  <si>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</si>
  <si>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</si>
  <si>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</si>
  <si>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</si>
  <si>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</si>
  <si>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</si>
  <si>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</si>
  <si>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</si>
  <si>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</si>
  <si>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</si>
  <si>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</si>
  <si>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</si>
  <si>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</si>
  <si>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</si>
  <si>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</si>
  <si>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</si>
  <si>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</si>
  <si>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</si>
  <si>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</si>
  <si>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</si>
  <si>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</si>
  <si>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</si>
  <si>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</si>
  <si>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</si>
  <si>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</si>
  <si>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</si>
  <si>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</si>
  <si>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</si>
  <si>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</si>
  <si>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</si>
  <si>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</si>
  <si>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</si>
  <si>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</si>
  <si>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</si>
  <si>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</si>
  <si>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</si>
  <si>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</si>
  <si>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</si>
  <si>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</si>
  <si>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</si>
  <si>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</si>
  <si>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</si>
  <si>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</si>
  <si>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</si>
  <si>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</si>
  <si>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</si>
  <si>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</si>
  <si>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</si>
  <si>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</si>
  <si>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</si>
  <si>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</si>
  <si>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</si>
  <si>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</si>
  <si>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</si>
  <si>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</si>
  <si>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</si>
  <si>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</si>
  <si>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</si>
  <si>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</si>
  <si>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</si>
  <si>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</si>
  <si>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</si>
  <si>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</si>
  <si>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</si>
  <si>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</si>
  <si>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</si>
  <si>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</si>
  <si>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</si>
  <si>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</si>
  <si>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</si>
  <si>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</si>
  <si>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</si>
  <si>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</si>
  <si>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</si>
  <si>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</si>
  <si>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</si>
  <si>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</si>
  <si>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</si>
  <si>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</si>
  <si>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</si>
  <si>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</si>
  <si>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</si>
  <si>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</si>
  <si>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</si>
  <si>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</si>
  <si>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</si>
  <si>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</si>
  <si>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</si>
  <si>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</si>
  <si>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</si>
  <si>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</si>
  <si>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</si>
  <si>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</si>
  <si>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</si>
  <si>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</si>
  <si>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</si>
  <si>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</si>
  <si>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</si>
  <si>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</si>
  <si>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</si>
  <si>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</si>
  <si>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</si>
  <si>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</si>
  <si>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</si>
  <si>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</si>
  <si>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</si>
  <si>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</si>
  <si>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</si>
  <si>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</si>
  <si>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</si>
  <si>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</si>
  <si>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</si>
  <si>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</si>
  <si>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</si>
  <si>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</si>
  <si>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</si>
  <si>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</si>
  <si>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</si>
  <si>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</si>
  <si>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</si>
  <si>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</si>
  <si>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</si>
  <si>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</si>
  <si>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</si>
  <si>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</si>
  <si>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</si>
  <si>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</si>
  <si>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</si>
  <si>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</si>
  <si>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</si>
  <si>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</si>
  <si>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</si>
  <si>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</si>
  <si>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</si>
  <si>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</si>
  <si>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</si>
  <si>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</si>
  <si>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</si>
  <si>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</si>
  <si>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</si>
  <si>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</si>
  <si>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</si>
  <si>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</si>
  <si>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</si>
  <si>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</si>
  <si>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</si>
  <si>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</si>
  <si>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</si>
  <si>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</si>
  <si>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</si>
  <si>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</si>
  <si>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</si>
  <si>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</si>
  <si>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</si>
  <si>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</si>
  <si>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</si>
  <si>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</si>
  <si>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</si>
  <si>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</si>
  <si>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</si>
  <si>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</si>
  <si>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</si>
  <si>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</si>
  <si>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</si>
  <si>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</si>
  <si>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</si>
  <si>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</si>
  <si>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</si>
  <si>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</si>
  <si>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</si>
  <si>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</si>
  <si>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</si>
  <si>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</si>
  <si>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</si>
  <si>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</si>
  <si>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</si>
  <si>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</si>
  <si>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</si>
  <si>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</si>
  <si>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</si>
  <si>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</si>
  <si>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</si>
  <si>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</si>
  <si>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</si>
  <si>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</si>
  <si>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</si>
  <si>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</si>
  <si>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</si>
  <si>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</si>
  <si>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</si>
  <si>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</si>
  <si>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</si>
  <si>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</si>
  <si>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</si>
  <si>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</si>
  <si>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</si>
  <si>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</si>
  <si>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</si>
  <si>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Ⅶ-石龙开发区</t>
  </si>
  <si>
    <t>工业</t>
    <phoneticPr fontId="3" type="noConversion"/>
  </si>
  <si>
    <t>是</t>
  </si>
  <si>
    <t>地上</t>
  </si>
  <si>
    <t>成新度</t>
  </si>
  <si>
    <t>收益法</t>
  </si>
  <si>
    <t>钢混</t>
  </si>
  <si>
    <t>生产用房</t>
  </si>
  <si>
    <t>否</t>
  </si>
  <si>
    <t>自定义</t>
  </si>
  <si>
    <t>宗地容积率</t>
  </si>
  <si>
    <t>不临65条商业街</t>
  </si>
  <si>
    <t>与级别开发程度不一致</t>
  </si>
  <si>
    <t>通路</t>
  </si>
  <si>
    <t>通电</t>
  </si>
  <si>
    <t>通讯</t>
  </si>
  <si>
    <t>通上水</t>
  </si>
  <si>
    <t>通下水</t>
  </si>
  <si>
    <t>通热</t>
  </si>
  <si>
    <t>平整</t>
  </si>
  <si>
    <t>较好</t>
  </si>
  <si>
    <t>一般</t>
  </si>
  <si>
    <t>未包含在土地购买价格中</t>
  </si>
  <si>
    <t>全部缴纳</t>
  </si>
  <si>
    <t>已包含在土地取得成本中</t>
  </si>
  <si>
    <t>成本法</t>
  </si>
  <si>
    <t>总价</t>
  </si>
  <si>
    <t>成本比率</t>
  </si>
  <si>
    <t>情况3</t>
  </si>
  <si>
    <t>正常</t>
  </si>
  <si>
    <t>自行开发建设</t>
  </si>
  <si>
    <t>非个人房产</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</si>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</sst>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95" fillId="0" borderId="0" xfId="10">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190500</xdr:colOff>
      <xdr:row>0</xdr:row>
      <xdr:rowOff>0</xdr:rowOff>
    </xdr:from>
    <xdr:to>
      <xdr:col>15</xdr:col>
      <xdr:colOff>123490</xdr:colOff>
      <xdr:row>14</xdr:row>
      <xdr:rowOff>18748</xdr:rowOff>
    </xdr:to>
    <xdr:pic>
      <xdr:nvPicPr>
        <xdr:cNvPr id="2" name="图片 1">
          <a:extLst>
            <a:ext uri="{FF2B5EF4-FFF2-40B4-BE49-F238E27FC236}">
              <a16:creationId xmlns:a16="http://schemas.microsoft.com/office/drawing/2014/main" id="{4A474713-F563-449E-BCC8-A80B58C49E79}"/>
            </a:ext>
          </a:extLst>
        </xdr:cNvPr>
        <xdr:cNvPicPr>
          <a:picLocks noChangeAspect="1"/>
        </xdr:cNvPicPr>
      </xdr:nvPicPr>
      <xdr:blipFill>
        <a:blip xmlns:r="http://schemas.openxmlformats.org/officeDocument/2006/relationships" r:embed="rId1"/>
        <a:stretch>
          <a:fillRect/>
        </a:stretch>
      </xdr:blipFill>
      <xdr:spPr>
        <a:xfrm>
          <a:off x="7734300" y="0"/>
          <a:ext cx="2676190" cy="2419048"/>
        </a:xfrm>
        <a:prstGeom prst="rect">
          <a:avLst/>
        </a:prstGeom>
      </xdr:spPr>
    </xdr:pic>
    <xdr:clientData/>
  </xdr:twoCellAnchor>
  <xdr:twoCellAnchor editAs="oneCell">
    <xdr:from>
      <xdr:col>0</xdr:col>
      <xdr:colOff>0</xdr:colOff>
      <xdr:row>20</xdr:row>
      <xdr:rowOff>38100</xdr:rowOff>
    </xdr:from>
    <xdr:to>
      <xdr:col>10</xdr:col>
      <xdr:colOff>246762</xdr:colOff>
      <xdr:row>54</xdr:row>
      <xdr:rowOff>94514</xdr:rowOff>
    </xdr:to>
    <xdr:pic>
      <xdr:nvPicPr>
        <xdr:cNvPr id="3" name="图片 2">
          <a:extLst>
            <a:ext uri="{FF2B5EF4-FFF2-40B4-BE49-F238E27FC236}">
              <a16:creationId xmlns:a16="http://schemas.microsoft.com/office/drawing/2014/main" id="{0A2A567C-A6C0-426F-9A12-D77A2F90AD08}"/>
            </a:ext>
          </a:extLst>
        </xdr:cNvPr>
        <xdr:cNvPicPr>
          <a:picLocks noChangeAspect="1"/>
        </xdr:cNvPicPr>
      </xdr:nvPicPr>
      <xdr:blipFill>
        <a:blip xmlns:r="http://schemas.openxmlformats.org/officeDocument/2006/relationships" r:embed="rId2"/>
        <a:stretch>
          <a:fillRect/>
        </a:stretch>
      </xdr:blipFill>
      <xdr:spPr>
        <a:xfrm>
          <a:off x="0" y="3467100"/>
          <a:ext cx="7104762" cy="5885714"/>
        </a:xfrm>
        <a:prstGeom prst="rect">
          <a:avLst/>
        </a:prstGeom>
      </xdr:spPr>
    </xdr:pic>
    <xdr:clientData/>
  </xdr:twoCellAnchor>
  <xdr:twoCellAnchor editAs="oneCell">
    <xdr:from>
      <xdr:col>0</xdr:col>
      <xdr:colOff>0</xdr:colOff>
      <xdr:row>0</xdr:row>
      <xdr:rowOff>0</xdr:rowOff>
    </xdr:from>
    <xdr:to>
      <xdr:col>11</xdr:col>
      <xdr:colOff>151438</xdr:colOff>
      <xdr:row>19</xdr:row>
      <xdr:rowOff>151974</xdr:rowOff>
    </xdr:to>
    <xdr:pic>
      <xdr:nvPicPr>
        <xdr:cNvPr id="4" name="图片 3">
          <a:extLst>
            <a:ext uri="{FF2B5EF4-FFF2-40B4-BE49-F238E27FC236}">
              <a16:creationId xmlns:a16="http://schemas.microsoft.com/office/drawing/2014/main" id="{E10FAFCD-1A91-42F7-9164-792DF93DC817}"/>
            </a:ext>
          </a:extLst>
        </xdr:cNvPr>
        <xdr:cNvPicPr>
          <a:picLocks noChangeAspect="1"/>
        </xdr:cNvPicPr>
      </xdr:nvPicPr>
      <xdr:blipFill>
        <a:blip xmlns:r="http://schemas.openxmlformats.org/officeDocument/2006/relationships" r:embed="rId3"/>
        <a:stretch>
          <a:fillRect/>
        </a:stretch>
      </xdr:blipFill>
      <xdr:spPr>
        <a:xfrm>
          <a:off x="0" y="0"/>
          <a:ext cx="7695238" cy="3409524"/>
        </a:xfrm>
        <a:prstGeom prst="rect">
          <a:avLst/>
        </a:prstGeom>
      </xdr:spPr>
    </xdr:pic>
    <xdr:clientData/>
  </xdr:twoCellAnchor>
  <xdr:twoCellAnchor editAs="oneCell">
    <xdr:from>
      <xdr:col>11</xdr:col>
      <xdr:colOff>504825</xdr:colOff>
      <xdr:row>14</xdr:row>
      <xdr:rowOff>95250</xdr:rowOff>
    </xdr:from>
    <xdr:to>
      <xdr:col>31</xdr:col>
      <xdr:colOff>493587</xdr:colOff>
      <xdr:row>51</xdr:row>
      <xdr:rowOff>151600</xdr:rowOff>
    </xdr:to>
    <xdr:pic>
      <xdr:nvPicPr>
        <xdr:cNvPr id="5" name="图片 4">
          <a:extLst>
            <a:ext uri="{FF2B5EF4-FFF2-40B4-BE49-F238E27FC236}">
              <a16:creationId xmlns:a16="http://schemas.microsoft.com/office/drawing/2014/main" id="{96362055-08A8-4CC1-B487-C946C84C3D37}"/>
            </a:ext>
          </a:extLst>
        </xdr:cNvPr>
        <xdr:cNvPicPr>
          <a:picLocks noChangeAspect="1"/>
        </xdr:cNvPicPr>
      </xdr:nvPicPr>
      <xdr:blipFill>
        <a:blip xmlns:r="http://schemas.openxmlformats.org/officeDocument/2006/relationships" r:embed="rId4"/>
        <a:stretch>
          <a:fillRect/>
        </a:stretch>
      </xdr:blipFill>
      <xdr:spPr>
        <a:xfrm>
          <a:off x="8048625" y="2495550"/>
          <a:ext cx="13704762" cy="6400000"/>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id="{4362C6F7-5434-4FCE-8921-9BE4180813F8}"/>
            </a:ext>
          </a:extLst>
        </xdr:cNvPr>
        <xdr:cNvPicPr>
          <a:picLocks noChangeAspect="1"/>
        </xdr:cNvPicPr>
      </xdr:nvPicPr>
      <xdr:blipFill>
        <a:blip xmlns:r="http://schemas.openxmlformats.org/officeDocument/2006/relationships" r:embed="rId5"/>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估价对象为北京市房地产，为所有。根据《国有土地使用证》[]，估价对象（分摊）出让国有建设用地使用权面积为6544.93平方米，建筑面积为6647.2平方米。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估价对象为北京市房地产,为开发建设的，该项目尚在开发建设中。根据《国有土地使用证》[]，估价对象（分摊）出让国有建设用地使用权面积为6544.93平方米，规划建筑面积为6647.2平方米。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2025年2月7日（评估专业人员实地查勘之日）</v>
      </c>
    </row>
    <row r="13" spans="1:2">
      <c r="A13" s="1119" t="s">
        <v>529</v>
      </c>
      <c r="B13" s="1120"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4515</v>
      </c>
    </row>
    <row r="21" spans="1:2">
      <c r="A21" s="1119" t="s">
        <v>537</v>
      </c>
      <c r="B21" s="1120">
        <f ca="1">'预评函-2'!D7</f>
        <v>6792</v>
      </c>
    </row>
    <row r="22" spans="1:2">
      <c r="A22" s="1119" t="s">
        <v>538</v>
      </c>
      <c r="B22" s="1120" t="str">
        <f ca="1">'预评函-2'!D6</f>
        <v>肆仟伍佰壹拾伍万元整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4515</v>
      </c>
    </row>
    <row r="31" spans="1:2">
      <c r="A31" s="1119" t="s">
        <v>576</v>
      </c>
      <c r="B31" s="1120">
        <f ca="1">'预评函-2'!D15</f>
        <v>6792</v>
      </c>
    </row>
    <row r="32" spans="1:2">
      <c r="A32" s="1119" t="s">
        <v>543</v>
      </c>
      <c r="B32" s="1120" t="str">
        <f ca="1">'预评函-2'!D14</f>
        <v>肆仟伍佰壹拾伍万元整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6647.2</v>
      </c>
    </row>
    <row r="44" spans="1:2">
      <c r="A44" s="1119" t="s">
        <v>575</v>
      </c>
      <c r="B44" s="1120" t="str">
        <f>'预评函-3'!C2</f>
        <v>(分摊)土地面积</v>
      </c>
    </row>
    <row r="45" spans="1:2">
      <c r="A45" s="1119" t="s">
        <v>547</v>
      </c>
      <c r="B45" s="1120">
        <f>'预评函-3'!C4</f>
        <v>6544.93</v>
      </c>
    </row>
    <row r="46" spans="1:2">
      <c r="A46" s="1119" t="s">
        <v>573</v>
      </c>
      <c r="B46" s="1120" t="str">
        <f>'预评函-3'!D2</f>
        <v>出让国有建设用地使用权价值</v>
      </c>
    </row>
    <row r="47" spans="1:2">
      <c r="A47" s="1119" t="s">
        <v>548</v>
      </c>
      <c r="B47" s="1120">
        <f ca="1">'预评函-3'!D4</f>
        <v>1878</v>
      </c>
    </row>
    <row r="48" spans="1:2">
      <c r="A48" s="1119" t="s">
        <v>549</v>
      </c>
      <c r="B48" s="1120">
        <f ca="1">'预评函-3'!E4</f>
        <v>2825</v>
      </c>
    </row>
    <row r="49" spans="1:2">
      <c r="A49" s="1119" t="s">
        <v>550</v>
      </c>
      <c r="B49" s="1120" t="str">
        <f ca="1">'预评函-3'!D5</f>
        <v>壹仟捌佰柒拾捌万元整</v>
      </c>
    </row>
    <row r="50" spans="1:2">
      <c r="A50" s="1119" t="s">
        <v>574</v>
      </c>
      <c r="B50" s="1120" t="str">
        <f>'预评函-3'!F2</f>
        <v>在建建筑物价值</v>
      </c>
    </row>
    <row r="51" spans="1:2">
      <c r="A51" s="1119" t="s">
        <v>551</v>
      </c>
      <c r="B51" s="1120">
        <f ca="1">'预评函-3'!F4</f>
        <v>2637</v>
      </c>
    </row>
    <row r="52" spans="1:2">
      <c r="A52" s="1119" t="s">
        <v>552</v>
      </c>
      <c r="B52" s="1120">
        <f ca="1">'预评函-3'!G4</f>
        <v>3967</v>
      </c>
    </row>
    <row r="53" spans="1:2">
      <c r="A53" s="1119" t="s">
        <v>580</v>
      </c>
      <c r="B53" s="1120" t="str">
        <f ca="1">'预评函-3'!F5</f>
        <v>贰仟陆佰叁拾柒万元整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45695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31.88</v>
      </c>
      <c r="D7" s="2768">
        <f>IF(ISERROR(ROUND(POWER(1+E7,A7-C7)*(POWER(1+E7,C7)-1)/(POWER(1+E7,A7)-1),3)),0,ROUND(POWER(1+E7,A7-C7)*(POWER(1+E7,C7)-1)/(POWER(1+E7,A7)-1),4))</f>
        <v>0.76259999999999994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45695</v>
      </c>
      <c r="C3" s="2186" t="s">
        <v>2171</v>
      </c>
      <c r="D3" s="2185">
        <v>45695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6"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57495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32.32</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6647.2</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6544.93</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0" sqref="H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6544.93</v>
      </c>
      <c r="B3" s="11">
        <f>IF(C3="否",G5-AT5,G5)</f>
        <v>6647.2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6647.2</v>
      </c>
      <c r="H5" s="13">
        <f t="shared" ref="H5:AT5" si="0">SUM(H13:H656)</f>
        <v>6647.2</v>
      </c>
      <c r="I5" s="13">
        <f t="shared" si="0"/>
        <v>6647.2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6647.2</v>
      </c>
      <c r="BA5" s="15">
        <f t="shared" si="1"/>
        <v>6647.2</v>
      </c>
      <c r="BB5" s="15">
        <f t="shared" si="1"/>
        <v>6647.2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6544.93</v>
      </c>
      <c r="F6" s="13" t="s">
        <v>0</v>
      </c>
      <c r="G6" s="13" t="s">
        <v>1</v>
      </c>
      <c r="H6" s="17">
        <f>SUMIF(I$12:AB$12,"总值",I6:AB6)</f>
        <v>6544.93</v>
      </c>
      <c r="I6" s="13">
        <f t="shared" ref="I6:AB6" si="2">ROUND($A$3*I5/$B$3,2)</f>
        <v>6544.93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6544.93</v>
      </c>
      <c r="AZ6" s="13" t="s">
        <v>2</v>
      </c>
      <c r="BA6" s="13">
        <f>ROUND($AY$6*BA5/$AZ$5,2)</f>
        <v>6544.93</v>
      </c>
      <c r="BB6" s="13">
        <f>ROUND($AY$6*BB5/$AZ$5,2)</f>
        <v>6544.93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3401</v>
      </c>
      <c r="D13" s="1513" t="s">
        <v>3402</v>
      </c>
      <c r="E13" s="13">
        <f>IF($C$3="是",ROUND($A$3*G13/$B$3,2),ROUND($A$3*(G13-AT13)/$B$3,2))</f>
        <v>6544.93</v>
      </c>
      <c r="F13" s="29"/>
      <c r="G13" s="30">
        <f>H13+AC13+AT13</f>
        <v>6647.2</v>
      </c>
      <c r="H13" s="17">
        <f>SUMIF(I$12:AB$12,"总值",I13:AB13)</f>
        <v>6647.2</v>
      </c>
      <c r="I13" s="1514">
        <v>6647.2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6544.93</v>
      </c>
      <c r="AZ13" s="13">
        <f>BA13+BL13</f>
        <v>6647.2</v>
      </c>
      <c r="BA13" s="13">
        <f>SUM(BB13:BK13)</f>
        <v>6647.2</v>
      </c>
      <c r="BB13" s="13">
        <f>IF($D13="是",I13-J13,0)</f>
        <v>6647.2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D14" sqref="D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6544.93</v>
      </c>
      <c r="E3" s="41">
        <f>'数据-基础表'!AZ5</f>
        <v>6647.2</v>
      </c>
      <c r="F3" s="2439"/>
      <c r="G3" s="42"/>
      <c r="H3" s="43" t="s">
        <v>1106</v>
      </c>
      <c r="I3" s="802">
        <f>ROUND('数据-基础表'!B3/'数据-基础表'!A3,2)</f>
        <v>1.02</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1.02</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1.02</v>
      </c>
      <c r="J5" s="2439"/>
      <c r="K5" s="2439"/>
      <c r="L5" s="2439"/>
      <c r="M5" s="2439"/>
      <c r="N5" s="2439"/>
      <c r="O5" s="2439"/>
      <c r="P5" s="2439"/>
    </row>
    <row r="6" spans="1:16" ht="15" thickBot="1">
      <c r="A6" s="1527"/>
      <c r="B6" s="3239" t="s">
        <v>1111</v>
      </c>
      <c r="C6" s="3239"/>
      <c r="D6" s="43">
        <f>ROUND($D$3*E6/$E$3,2)</f>
        <v>6544.93</v>
      </c>
      <c r="E6" s="44">
        <f>E3-E5</f>
        <v>6647.2</v>
      </c>
      <c r="F6" s="2439"/>
      <c r="G6" s="1529" t="s">
        <v>1112</v>
      </c>
      <c r="H6" s="45" t="s">
        <v>1113</v>
      </c>
      <c r="I6" s="2435">
        <f>ROUND(F31/D31,2)</f>
        <v>1.02</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6544.93</v>
      </c>
      <c r="E8" s="46">
        <f>SUMIF('数据-基础表'!BB10:BK10,"地上",'数据-基础表'!BB5:BK5)</f>
        <v>6647.2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6544.93</v>
      </c>
      <c r="E16" s="48">
        <f>SUM(E8:E15)</f>
        <v>6647.2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6544.93</v>
      </c>
      <c r="E19" s="51">
        <f t="shared" ref="E19:E26" si="1">SUM(F19:G19)</f>
        <v>6647.2</v>
      </c>
      <c r="F19" s="2558">
        <f>'数据-基础表'!I13</f>
        <v>6647.2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6544.93</v>
      </c>
      <c r="S19" s="51">
        <f t="shared" si="5"/>
        <v>6647.2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6544.93</v>
      </c>
      <c r="E27" s="1073">
        <f>IF(SUM(E19:E26)='数据-基础表'!BA5,SUM(E19:E26),IF(F27="地上面积有误","面积有误","地下面积有误"))</f>
        <v>6647.2</v>
      </c>
      <c r="F27" s="1072">
        <f>IF(SUM(F19:F26)=E8,SUM(F19:F26),"地上面积有误")</f>
        <v>6647.2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6544.93</v>
      </c>
      <c r="S27" s="43">
        <f>IF(SUM(S19:S26)=$E$3,SUM(S19:S26),SUM(S19:S26)&amp;"误差"&amp;ROUND(SUM(S19:S26)-E3,2))</f>
        <v>6647.2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6544.93</v>
      </c>
      <c r="E31" s="643">
        <f>E27+E30</f>
        <v>6647.2</v>
      </c>
      <c r="F31" s="644">
        <f>F27+F30</f>
        <v>6647.2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23"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57495</v>
      </c>
      <c r="F6" s="61">
        <f>SUMIF(项目基本情况!C$12:I$12,C6,项目基本情况!C$15:I$15)</f>
        <v>32.32</v>
      </c>
      <c r="G6" s="62">
        <f>IF(ISERROR(ROUND(POWER(1+H6,D6-F6)*(POWER(1+H6,F6)-1)/(POWER(1+H6,D6)-1),3)),0,ROUND(POWER(1+H6,D6-F6)*(POWER(1+H6,F6)-1)/(POWER(1+H6,D6)-1),3))</f>
        <v>0.86899999999999999</v>
      </c>
      <c r="H6" s="691">
        <v>0.05</v>
      </c>
      <c r="I6" s="691">
        <v>5.5E-2</v>
      </c>
      <c r="J6" s="63">
        <v>7.0000000000000007E-2</v>
      </c>
      <c r="K6" s="970">
        <f>SUMIF('数据-汇总表'!C$19:C$33,A6,'数据-汇总表'!E$19:E$33)</f>
        <v>6647.2</v>
      </c>
      <c r="L6" s="692">
        <v>3300</v>
      </c>
      <c r="M6" s="64">
        <f t="shared" ref="M6:M14" si="0">ROUND(K6*L6/10000,0)</f>
        <v>2194</v>
      </c>
      <c r="N6" s="690">
        <f>ROUND((1-(2025-2009)/50+80%)/2,2)</f>
        <v>0.74</v>
      </c>
      <c r="O6" s="64" t="str">
        <f>IF($N$5="成新度","——",ROUND(M6*N6,0))</f>
        <v>——</v>
      </c>
      <c r="P6" s="65" t="str">
        <f>IF($N$5="成新度","——",M6-O6)</f>
        <v>——</v>
      </c>
      <c r="Q6" s="693">
        <v>0.05</v>
      </c>
      <c r="R6" s="66">
        <f ca="1">SUMIF('数据-汇总表'!C$19:C$33,A6,'数据-汇总表'!R$19:R$27)</f>
        <v>6544.93</v>
      </c>
      <c r="S6" s="49">
        <f>IF('数据-汇总表'!$I$17="按面积比例",SUMIF('数据-汇总表'!C$19:C$33,A6,'数据-汇总表'!K$19:K$33),SUMIF('数据-汇总表'!C$19:C$33,A6,'数据-汇总表'!N$19:N$33))</f>
        <v>0</v>
      </c>
      <c r="T6" s="1092">
        <f>ROUND($L$14*S6/10000,0)</f>
        <v>0</v>
      </c>
      <c r="U6" s="3127">
        <v>1.5</v>
      </c>
      <c r="V6" s="67">
        <v>0.02</v>
      </c>
      <c r="W6" s="67">
        <v>0.1</v>
      </c>
      <c r="X6" s="979"/>
      <c r="Y6" s="68">
        <f>N6</f>
        <v>0.74</v>
      </c>
      <c r="Z6" s="69"/>
      <c r="AA6" s="63"/>
      <c r="AB6" s="63"/>
      <c r="AC6" s="979"/>
      <c r="AD6" s="70"/>
      <c r="AE6" s="980">
        <f ca="1">IF(AN6="",0,SUMIF(INDIRECT("'"&amp;AN6&amp;"'"&amp;"!E:E"),$AE$5,INDIRECT("'"&amp;AN6&amp;"'"&amp;"!F:F")))</f>
        <v>32.32</v>
      </c>
      <c r="AF6" s="74"/>
      <c r="AG6" s="130">
        <f>IF(AF6="",0,AE6-AF6)</f>
        <v>0</v>
      </c>
      <c r="AH6" s="71"/>
      <c r="AI6" s="73">
        <v>365</v>
      </c>
      <c r="AJ6" s="74"/>
      <c r="AK6" s="75">
        <v>2E-3</v>
      </c>
      <c r="AL6" s="76">
        <v>1E-3</v>
      </c>
      <c r="AM6" s="77">
        <v>0.01</v>
      </c>
      <c r="AN6" s="1589" t="s">
        <v>3405</v>
      </c>
      <c r="AO6" s="50">
        <f ca="1">SUMIF(INDIRECT("'"&amp;AN6&amp;"'"&amp;"!A:A"),"总价",INDIRECT("'"&amp;AN6&amp;"'"&amp;"!B:B"))</f>
        <v>5064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0.86899999999999999</v>
      </c>
      <c r="H16" s="84">
        <f>ROUND(SUMPRODUCT(H6:H13,K6:K13)/SUMPRODUCT((H6:H13&gt;0)*(K6:K13)),3)</f>
        <v>0.05</v>
      </c>
      <c r="I16" s="85"/>
      <c r="J16" s="85"/>
      <c r="K16" s="86">
        <f>SUM(K6:K15)</f>
        <v>6647.2</v>
      </c>
      <c r="L16" s="87">
        <f>ROUND(M16*10000/SUM(K6:K14),0)</f>
        <v>3301</v>
      </c>
      <c r="M16" s="87">
        <f>SUM(M6:M14)</f>
        <v>2194</v>
      </c>
      <c r="N16" s="88">
        <f>ROUND(SUMPRODUCT(M6:M14,N6:N14)/M16,3)</f>
        <v>0.74</v>
      </c>
      <c r="O16" s="87">
        <f>SUM(O6:O14)</f>
        <v>0</v>
      </c>
      <c r="P16" s="87">
        <f>SUM(P6:P14)</f>
        <v>0</v>
      </c>
      <c r="Q16" s="89">
        <f>ROUND(SUMPRODUCT(Q6:Q13,K6:K13)/SUMPRODUCT((Q6:Q13&gt;0)*(K6:K13)),2)</f>
        <v>0.05</v>
      </c>
      <c r="R16" s="974">
        <f ca="1">SUM(R6:R13)</f>
        <v>6544.93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133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6792</v>
      </c>
      <c r="D5" s="2300" t="e">
        <f>ROUND(B5*10000/$B$2,0)</f>
        <v>#DIV/0!</v>
      </c>
      <c r="E5" s="2462"/>
      <c r="F5" s="2463"/>
      <c r="G5" s="2463"/>
      <c r="H5" s="2463"/>
      <c r="I5" s="2463"/>
      <c r="J5" s="2463"/>
      <c r="K5" s="2463"/>
    </row>
    <row r="6" spans="1:11" ht="16.5">
      <c r="A6" s="2300" t="s">
        <v>656</v>
      </c>
      <c r="B6" s="2300">
        <f>SUM(G14:G23)</f>
        <v>0</v>
      </c>
      <c r="C6" s="2300">
        <f ca="1">IF(B6=G14,结果表!H108,ROUND(B6*10000/$B$1,0))</f>
        <v>6792</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5" sqref="H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3432</v>
      </c>
      <c r="H1" s="1621" t="str">
        <f>IF(G1="现房","——","估价对象范围")</f>
        <v>——</v>
      </c>
      <c r="I1" s="1622" t="s">
        <v>3433</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3425</v>
      </c>
      <c r="D4" s="1626" t="s">
        <v>3405</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4</v>
      </c>
      <c r="D14" s="3279">
        <v>6</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6" t="s">
        <v>2131</v>
      </c>
      <c r="F18" s="3267"/>
      <c r="G18" s="3267"/>
      <c r="H18" s="3267"/>
      <c r="I18" s="3267"/>
      <c r="K18" s="294" t="s">
        <v>1289</v>
      </c>
      <c r="L18" s="294">
        <f>IF(C1="",'数据-汇总表'!E3,SUMIF(项目类型,C1,'数据-汇总表'!E17:E26)+SUMIF(项目类型,C1,'数据-汇总表'!I17:I26))</f>
        <v>6647.2</v>
      </c>
      <c r="M18" s="294">
        <f>IF(C1="",'数据-汇总表'!E3,SUMIF(项目类型,C1,'数据-汇总表'!E17:E26))</f>
        <v>6647.2</v>
      </c>
    </row>
    <row r="19" spans="1:36" ht="15">
      <c r="A19" s="1630" t="s">
        <v>1290</v>
      </c>
      <c r="B19" s="1631" t="s">
        <v>1291</v>
      </c>
      <c r="C19" s="126">
        <f ca="1">SUMIF(INDIRECT("'"&amp;C4&amp;"'"&amp;"!A:A"),结果表!B19,INDIRECT("'"&amp;C4&amp;"'"&amp;"!B:B"))</f>
        <v>3692</v>
      </c>
      <c r="D19" s="127">
        <f ca="1">SUMIF(INDIRECT("'"&amp;D4&amp;"'"&amp;"!A:A"),结果表!B19,INDIRECT("'"&amp;D4&amp;"'"&amp;"!B:B"))</f>
        <v>5064</v>
      </c>
      <c r="E19" s="1630" t="s">
        <v>1292</v>
      </c>
      <c r="F19" s="1631" t="s">
        <v>1291</v>
      </c>
      <c r="G19" s="128">
        <f ca="1">ROUND(C19*$C$18+D19*$D$18,0)</f>
        <v>4515</v>
      </c>
      <c r="H19" s="1632" t="s">
        <v>1293</v>
      </c>
      <c r="I19" s="121"/>
      <c r="K19" s="294" t="s">
        <v>1294</v>
      </c>
      <c r="L19" s="294">
        <f>IF(C1="",'数据-汇总表'!D3,SUMIF(项目类型,C1,'数据-汇总表'!D17:D26)+SUMIF(项目类型,C1,'数据-汇总表'!H17:H27))</f>
        <v>6544.93</v>
      </c>
      <c r="M19" s="294">
        <f>IF(C1="",'数据-汇总表'!D3,SUMIF(项目类型,C1,'数据-汇总表'!D17:D26))</f>
        <v>6544.93</v>
      </c>
    </row>
    <row r="20" spans="1:36" ht="15">
      <c r="A20" s="1633"/>
      <c r="B20" s="43" t="s">
        <v>1295</v>
      </c>
      <c r="C20" s="129">
        <f ca="1">SUMIF(INDIRECT("'"&amp;C4&amp;"'"&amp;"!A:A"),结果表!B20,INDIRECT("'"&amp;C4&amp;"'"&amp;"!B:B"))</f>
        <v>5554</v>
      </c>
      <c r="D20" s="130">
        <f ca="1">SUMIF(INDIRECT("'"&amp;D4&amp;"'"&amp;"!A:A"),结果表!B20,INDIRECT("'"&amp;D4&amp;"'"&amp;"!B:B"))</f>
        <v>7618</v>
      </c>
      <c r="E20" s="1633"/>
      <c r="F20" s="43" t="s">
        <v>1295</v>
      </c>
      <c r="G20" s="131">
        <f ca="1">ROUND(C20*$C$18+D20*$D$18,0)</f>
        <v>6792</v>
      </c>
      <c r="H20" s="760" t="s">
        <v>1296</v>
      </c>
      <c r="I20" s="121"/>
    </row>
    <row r="21" spans="1:36" ht="15" customHeight="1" thickBot="1">
      <c r="A21" s="449"/>
      <c r="B21" s="93" t="s">
        <v>1297</v>
      </c>
      <c r="C21" s="678">
        <f ca="1">ROUND(C19*10000/L19,0)</f>
        <v>5641</v>
      </c>
      <c r="D21" s="679">
        <f ca="1">ROUND(D19*10000/L19,0)</f>
        <v>7737</v>
      </c>
      <c r="E21" s="449"/>
      <c r="F21" s="93" t="s">
        <v>1297</v>
      </c>
      <c r="G21" s="132">
        <f ca="1">ROUND(G19*10000/L19,0)</f>
        <v>6898</v>
      </c>
      <c r="H21" s="1634" t="s">
        <v>1296</v>
      </c>
      <c r="I21" s="121"/>
    </row>
    <row r="22" spans="1:36" ht="15" thickBot="1">
      <c r="A22" s="1564" t="s">
        <v>1298</v>
      </c>
      <c r="B22" s="1635"/>
      <c r="C22" s="1636"/>
      <c r="D22" s="680">
        <f ca="1">IF(C19&lt;D19,D19/C19-1,C19/D19-1)</f>
        <v>0.37161430119176608</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4515</v>
      </c>
      <c r="D32" s="1641" t="s">
        <v>3426</v>
      </c>
      <c r="E32" s="121"/>
      <c r="F32" s="121"/>
      <c r="G32" s="121"/>
      <c r="H32" s="121"/>
      <c r="I32" s="121"/>
    </row>
    <row r="33" spans="1:15" ht="15">
      <c r="A33" s="740" t="s">
        <v>1306</v>
      </c>
      <c r="B33" s="123"/>
      <c r="C33" s="1642" t="s">
        <v>3427</v>
      </c>
      <c r="D33" s="1643" t="s">
        <v>3425</v>
      </c>
      <c r="E33" s="1644" t="s">
        <v>1307</v>
      </c>
      <c r="F33" s="1645" t="str">
        <f>IF(D32="楼面单价","取值（单价）","取值（总价）")</f>
        <v>取值（总价）</v>
      </c>
      <c r="G33" s="121"/>
      <c r="H33" s="121"/>
      <c r="I33" s="121"/>
    </row>
    <row r="34" spans="1:15" ht="15">
      <c r="A34" s="1646"/>
      <c r="B34" s="1647" t="s">
        <v>1308</v>
      </c>
      <c r="C34" s="140">
        <f ca="1">IF(C33="自定义",F34,C32-C35)</f>
        <v>1878</v>
      </c>
      <c r="D34" s="808">
        <f ca="1">IF(C33="自定义",ROUND(C34/C32,3),IF(C33="收益比率",SUMIF(INDIRECT("'"&amp;D33&amp;"'"&amp;"!b:b"),"土地收益比率",INDIRECT("'"&amp;D33&amp;"'"&amp;"!c:c")),SUMIF(INDIRECT("'"&amp;D33&amp;"'"&amp;"!b:b"),"土地成本比率",INDIRECT("'"&amp;D33&amp;"'"&amp;"!c:c"))))</f>
        <v>0.41600000000000004</v>
      </c>
      <c r="E34" s="1648" t="s">
        <v>1309</v>
      </c>
      <c r="F34" s="1243"/>
      <c r="G34" s="121"/>
      <c r="H34" s="121"/>
      <c r="I34" s="121"/>
    </row>
    <row r="35" spans="1:15" ht="15.75" thickBot="1">
      <c r="A35" s="1649"/>
      <c r="B35" s="1650" t="s">
        <v>1310</v>
      </c>
      <c r="C35" s="1090">
        <f ca="1">IF(C33="自定义",F35,ROUND(C32*D35,0))</f>
        <v>2637</v>
      </c>
      <c r="D35" s="1091">
        <f ca="1">IF(C33="自定义",ROUND(C35/C32,3),IF(C33="收益比率",SUMIF(INDIRECT("'"&amp;D33&amp;"'"&amp;"!b:b"),"建筑物收益比率",INDIRECT("'"&amp;D33&amp;"'"&amp;"!c:c")),SUMIF(INDIRECT("'"&amp;D33&amp;"'"&amp;"!b:b"),"建筑物成本比率",INDIRECT("'"&amp;D33&amp;"'"&amp;"!c:c"))))</f>
        <v>0.58399999999999996</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4515</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45695</v>
      </c>
      <c r="N47" s="3327"/>
      <c r="O47" s="3327"/>
    </row>
    <row r="48" spans="1:15" ht="25.5">
      <c r="A48" s="3275" t="s">
        <v>1338</v>
      </c>
      <c r="B48" s="3258"/>
      <c r="C48" s="3258"/>
      <c r="D48" s="12">
        <f ca="1">IF(H48="情况1",0,IF(H48="情况2",D52,IF(H48="情况3",D53,IF(H48="情况4",D54))))</f>
        <v>241</v>
      </c>
      <c r="E48" s="1256" t="str">
        <f>IF(H48="情况4","(销售额-原购置价)×税（费）率","销售额×税（费）率")</f>
        <v>销售额×税（费）率</v>
      </c>
      <c r="F48" s="2335">
        <f>IF(H48="情况1","免征",'数据-取费表'!B41)</f>
        <v>5.6000000000000001E-2</v>
      </c>
      <c r="G48" s="2336" t="s">
        <v>1339</v>
      </c>
      <c r="H48" s="2337" t="s">
        <v>3428</v>
      </c>
      <c r="I48" s="1668"/>
      <c r="J48" s="2310">
        <v>3</v>
      </c>
      <c r="K48" s="3306" t="s">
        <v>1340</v>
      </c>
      <c r="L48" s="3306"/>
      <c r="M48" s="3328">
        <f ca="1">H101</f>
        <v>4515</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4515</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241</v>
      </c>
      <c r="E52" s="1256" t="s">
        <v>1354</v>
      </c>
      <c r="F52" s="2340">
        <f>'数据-取费表'!B41</f>
        <v>5.6000000000000001E-2</v>
      </c>
      <c r="G52" s="2341"/>
      <c r="H52" s="2331"/>
      <c r="I52" s="1669"/>
      <c r="J52" s="2310">
        <v>1</v>
      </c>
      <c r="K52" s="3307" t="s">
        <v>1355</v>
      </c>
      <c r="L52" s="3307"/>
      <c r="M52" s="2312">
        <f ca="1">D48</f>
        <v>241</v>
      </c>
      <c r="N52" s="2310" t="str">
        <f>E48</f>
        <v>销售额×税（费）率</v>
      </c>
      <c r="O52" s="2313">
        <f>F48</f>
        <v>5.6000000000000001E-2</v>
      </c>
    </row>
    <row r="53" spans="1:35" ht="12" customHeight="1">
      <c r="A53" s="2153" t="s">
        <v>1356</v>
      </c>
      <c r="B53" s="3268" t="s">
        <v>2282</v>
      </c>
      <c r="C53" s="3269"/>
      <c r="D53" s="1024">
        <f ca="1">ROUND(D45*'数据-取费表'!B41/(1+'数据-取费表'!C42),0)</f>
        <v>241</v>
      </c>
      <c r="E53" s="1256" t="s">
        <v>1354</v>
      </c>
      <c r="F53" s="2340">
        <f>'数据-取费表'!B41</f>
        <v>5.6000000000000001E-2</v>
      </c>
      <c r="G53" s="2341"/>
      <c r="H53" s="2331"/>
      <c r="I53" s="1669"/>
      <c r="J53" s="2310">
        <v>2</v>
      </c>
      <c r="K53" s="3307" t="s">
        <v>1357</v>
      </c>
      <c r="L53" s="3307"/>
      <c r="M53" s="2312">
        <f t="shared" ref="M53:O54" ca="1" si="0">D55</f>
        <v>2</v>
      </c>
      <c r="N53" s="2310" t="str">
        <f t="shared" si="0"/>
        <v>销售额×税（费）率</v>
      </c>
      <c r="O53" s="2313">
        <f t="shared" si="0"/>
        <v>5.0000000000000001E-4</v>
      </c>
    </row>
    <row r="54" spans="1:35" ht="12" customHeight="1">
      <c r="A54" s="2153" t="s">
        <v>1358</v>
      </c>
      <c r="B54" s="3268" t="s">
        <v>2283</v>
      </c>
      <c r="C54" s="3269"/>
      <c r="D54" s="1024">
        <f ca="1">C68</f>
        <v>241</v>
      </c>
      <c r="E54" s="319" t="s">
        <v>1359</v>
      </c>
      <c r="F54" s="2340">
        <f>'数据-取费表'!B41</f>
        <v>5.6000000000000001E-2</v>
      </c>
      <c r="G54" s="2341"/>
      <c r="H54" s="2342"/>
      <c r="I54" s="1669"/>
      <c r="J54" s="2310">
        <v>3</v>
      </c>
      <c r="K54" s="3307" t="s">
        <v>1360</v>
      </c>
      <c r="L54" s="3307"/>
      <c r="M54" s="2312">
        <f t="shared" ca="1" si="0"/>
        <v>2555</v>
      </c>
      <c r="N54" s="2310" t="str">
        <f t="shared" si="0"/>
        <v>增值额×税（费）率</v>
      </c>
      <c r="O54" s="2314" t="str">
        <f t="shared" si="0"/>
        <v>——</v>
      </c>
    </row>
    <row r="55" spans="1:35" ht="24" customHeight="1">
      <c r="A55" s="3257" t="s">
        <v>1361</v>
      </c>
      <c r="B55" s="3258"/>
      <c r="C55" s="3258"/>
      <c r="D55" s="12">
        <f ca="1">IF(H55="个人住宅",0,ROUND(D45*I55,0))</f>
        <v>2</v>
      </c>
      <c r="E55" s="1256" t="s">
        <v>1362</v>
      </c>
      <c r="F55" s="2340">
        <f>IF(H55="正常",I55,"免征")</f>
        <v>5.0000000000000001E-4</v>
      </c>
      <c r="G55" s="2341"/>
      <c r="H55" s="2337" t="s">
        <v>3429</v>
      </c>
      <c r="I55" s="157">
        <f>'数据-取费表'!B49</f>
        <v>5.0000000000000001E-4</v>
      </c>
      <c r="J55" s="2310" t="str">
        <f>IF(H59="非个人房产","",4)</f>
        <v/>
      </c>
      <c r="K55" s="3307" t="str">
        <f>IF(H59="非个人房产","——","个人所得税")</f>
        <v>——</v>
      </c>
      <c r="L55" s="3307"/>
      <c r="M55" s="2315" t="str">
        <f>D59</f>
        <v>——</v>
      </c>
      <c r="N55" s="1883" t="str">
        <f>E59</f>
        <v>——</v>
      </c>
      <c r="O55" s="2316" t="str">
        <f>F59</f>
        <v>——</v>
      </c>
    </row>
    <row r="56" spans="1:35" ht="24.75">
      <c r="A56" s="3257" t="s">
        <v>1363</v>
      </c>
      <c r="B56" s="3258"/>
      <c r="C56" s="3258"/>
      <c r="D56" s="12">
        <f ca="1">IF(H56="个人住宅",D57,D58)</f>
        <v>2555</v>
      </c>
      <c r="E56" s="1256" t="s">
        <v>1364</v>
      </c>
      <c r="F56" s="2340" t="str">
        <f>IF(H56="正常",F58,"免征")</f>
        <v>——</v>
      </c>
      <c r="G56" s="2343" t="s">
        <v>1365</v>
      </c>
      <c r="H56" s="2344" t="s">
        <v>3429</v>
      </c>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4</v>
      </c>
      <c r="K57" s="3307" t="s">
        <v>1367</v>
      </c>
      <c r="L57" s="2317" t="s">
        <v>1368</v>
      </c>
      <c r="M57" s="2318"/>
      <c r="N57" s="2319">
        <f ca="1">SUMIF(M52:M56,"&lt;9e307")</f>
        <v>2798</v>
      </c>
      <c r="O57" s="2320"/>
      <c r="P57" s="2465">
        <f ca="1">N57/M49</f>
        <v>0.61971207087486158</v>
      </c>
    </row>
    <row r="58" spans="1:35" ht="24.75">
      <c r="A58" s="2153" t="s">
        <v>1352</v>
      </c>
      <c r="B58" s="3268" t="s">
        <v>1369</v>
      </c>
      <c r="C58" s="3242"/>
      <c r="D58" s="12">
        <f ca="1">IF(H58="转让取得",C81,C97)</f>
        <v>2555</v>
      </c>
      <c r="E58" s="1256" t="s">
        <v>1364</v>
      </c>
      <c r="F58" s="294" t="s">
        <v>28</v>
      </c>
      <c r="G58" s="2341"/>
      <c r="H58" s="2344" t="s">
        <v>3430</v>
      </c>
      <c r="I58" s="1670"/>
      <c r="J58" s="3307"/>
      <c r="K58" s="3307"/>
      <c r="L58" s="2317" t="s">
        <v>1370</v>
      </c>
      <c r="M58" s="2321"/>
      <c r="N58" s="2322" t="str">
        <f ca="1">NUMBERSTRING(INT(N57*10000),2)&amp;"元整"</f>
        <v>贰仟柒佰玖拾捌万元整</v>
      </c>
      <c r="O58" s="2323"/>
    </row>
    <row r="59" spans="1:35" ht="24.75" thickBot="1">
      <c r="A59" s="3310" t="s">
        <v>1371</v>
      </c>
      <c r="B59" s="3311"/>
      <c r="C59" s="331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3431</v>
      </c>
      <c r="I59" s="2137" t="s">
        <v>2137</v>
      </c>
      <c r="J59" s="3308">
        <f>J57+1</f>
        <v>5</v>
      </c>
      <c r="K59" s="3307" t="s">
        <v>1372</v>
      </c>
      <c r="L59" s="2310" t="s">
        <v>1368</v>
      </c>
      <c r="M59" s="2324"/>
      <c r="N59" s="2325">
        <f ca="1">M49-N57</f>
        <v>1717</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壹仟柒佰壹拾柒万元整</v>
      </c>
      <c r="O60" s="2323"/>
    </row>
    <row r="61" spans="1:35" ht="13.5" thickBot="1">
      <c r="A61" s="3255" t="s">
        <v>1373</v>
      </c>
      <c r="B61" s="3255"/>
      <c r="C61" s="3255"/>
      <c r="D61" s="3255"/>
      <c r="E61" s="3255"/>
      <c r="F61" s="1670"/>
      <c r="G61" s="1670"/>
      <c r="H61" s="151"/>
      <c r="I61" s="121"/>
      <c r="J61" s="2310">
        <f>J59+1</f>
        <v>6</v>
      </c>
      <c r="K61" s="3307" t="s">
        <v>1374</v>
      </c>
      <c r="L61" s="3307"/>
      <c r="M61" s="2327"/>
      <c r="N61" s="2328">
        <f ca="1">ROUND(N59*10000/'数据-汇总表'!E3,0)</f>
        <v>2583</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4300</v>
      </c>
      <c r="D63" s="159"/>
      <c r="E63" s="160"/>
      <c r="F63" s="1670"/>
      <c r="G63" s="1670"/>
      <c r="H63" s="151"/>
      <c r="I63" s="121"/>
      <c r="J63" s="3332" t="s">
        <v>1379</v>
      </c>
      <c r="K63" s="1245" t="s">
        <v>1380</v>
      </c>
      <c r="L63" s="1245">
        <f ca="1">IF(M49&gt;10000,M49*0.5%,IF(AND(M49&gt;1000,M49&lt;=10000),M49*1%,IF(AND(M49&gt;100,M49&lt;=1000),M49*3%,IF(AND(M49&gt;10,M49&lt;=100),M49*5%,M49*8%))))</f>
        <v>45.15</v>
      </c>
      <c r="M63" s="294">
        <f ca="1">ROUND(L63,1)</f>
        <v>45.2</v>
      </c>
      <c r="N63" s="2330"/>
      <c r="Z63" s="1623"/>
      <c r="AI63" s="1561"/>
    </row>
    <row r="64" spans="1:35" ht="14.25" customHeight="1">
      <c r="A64" s="161" t="s">
        <v>325</v>
      </c>
      <c r="B64" s="162" t="s">
        <v>1381</v>
      </c>
      <c r="C64" s="2351">
        <f ca="1">D45</f>
        <v>4515</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22.574999999999999</v>
      </c>
      <c r="M64" s="294">
        <f t="shared" ref="M64:M65" ca="1" si="1">ROUND(L64,1)</f>
        <v>22.6</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4.5149999999999997</v>
      </c>
      <c r="M65" s="294">
        <f t="shared" ca="1" si="1"/>
        <v>4.5</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22.574999999999999</v>
      </c>
      <c r="M66" s="294">
        <f ca="1">IF(L66&gt;0.5,0.5,ROUND(L66,0))</f>
        <v>0.5</v>
      </c>
      <c r="N66" s="2331" t="s">
        <v>1388</v>
      </c>
      <c r="Z66" s="1623"/>
      <c r="AI66" s="1561"/>
    </row>
    <row r="67" spans="1:35" ht="14.25" customHeight="1">
      <c r="A67" s="165" t="s">
        <v>328</v>
      </c>
      <c r="B67" s="166" t="s">
        <v>1389</v>
      </c>
      <c r="C67" s="2354">
        <f ca="1">C63-C66</f>
        <v>4300</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241</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90.3</v>
      </c>
      <c r="M68" s="294">
        <f ca="1">ROUND(L68,1)</f>
        <v>90.3</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166</v>
      </c>
      <c r="N69" s="2332">
        <f ca="1">M69/M49</f>
        <v>3.6766334440753043E-2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4300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4274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164.38461538461539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2555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4300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4274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164.38461538461539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2555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v>
      </c>
      <c r="E101" s="3329" t="s">
        <v>1431</v>
      </c>
      <c r="F101" s="3286"/>
      <c r="G101" s="1687" t="s">
        <v>1432</v>
      </c>
      <c r="H101" s="2381">
        <f ca="1">H118</f>
        <v>4515</v>
      </c>
      <c r="I101" s="121"/>
    </row>
    <row r="102" spans="1:35" ht="18.75" customHeight="1">
      <c r="A102" s="3288" t="s">
        <v>1433</v>
      </c>
      <c r="B102" s="2370" t="s">
        <v>1432</v>
      </c>
      <c r="C102" s="2371">
        <f ca="1">IF(D32="楼面单价",ROUND(C19,0),C19)</f>
        <v>3692</v>
      </c>
      <c r="D102" s="2372">
        <f ca="1">IF(D32="楼面单价",ROUND(D19,0),D19)</f>
        <v>5064</v>
      </c>
      <c r="E102" s="3329"/>
      <c r="F102" s="3286"/>
      <c r="G102" s="1687" t="s">
        <v>1434</v>
      </c>
      <c r="H102" s="2341">
        <f ca="1">I118</f>
        <v>6792</v>
      </c>
      <c r="I102" s="121"/>
    </row>
    <row r="103" spans="1:35" ht="42.75" customHeight="1">
      <c r="A103" s="3288"/>
      <c r="B103" s="2370" t="s">
        <v>1434</v>
      </c>
      <c r="C103" s="2373">
        <f ca="1">C20</f>
        <v>5554</v>
      </c>
      <c r="D103" s="2374">
        <f ca="1">D20</f>
        <v>7618</v>
      </c>
      <c r="E103" s="3323" t="s">
        <v>1435</v>
      </c>
      <c r="F103" s="3324"/>
      <c r="G103" s="1688" t="s">
        <v>1436</v>
      </c>
      <c r="H103" s="2381">
        <f>IF(D36="正常操作",H104+H105+H106,H105+H106)</f>
        <v>0</v>
      </c>
      <c r="I103" s="121"/>
    </row>
    <row r="104" spans="1:35" ht="18.75" customHeight="1">
      <c r="A104" s="3288" t="s">
        <v>1437</v>
      </c>
      <c r="B104" s="2375" t="s">
        <v>1432</v>
      </c>
      <c r="C104" s="2376">
        <f ca="1">H118</f>
        <v>4515</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6792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4515</v>
      </c>
      <c r="I107" s="121"/>
    </row>
    <row r="108" spans="1:35" ht="18.75" customHeight="1">
      <c r="A108" s="121"/>
      <c r="B108" s="121"/>
      <c r="C108" s="121"/>
      <c r="D108" s="121"/>
      <c r="E108" s="3285"/>
      <c r="F108" s="3286"/>
      <c r="G108" s="1687" t="s">
        <v>1434</v>
      </c>
      <c r="H108" s="2341">
        <f ca="1">IF(H107=H101,H102,ROUND(H107*10000/'数据-汇总表'!E3,0))</f>
        <v>6792</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6647.2</v>
      </c>
      <c r="C118" s="2150">
        <f>M19</f>
        <v>6544.93</v>
      </c>
      <c r="D118" s="2150">
        <f ca="1">ROUND(IF(D32="总价",C34,E118*B118/10000),0)</f>
        <v>1878</v>
      </c>
      <c r="E118" s="2150">
        <f ca="1">ROUND(IF(C33="自定义",IF(D32="楼面单价",C34,D118*10000/B118),I118-G118),0)</f>
        <v>2825</v>
      </c>
      <c r="F118" s="2150">
        <f ca="1">ROUND(IF(D32="总价",C35,G118*B118/10000),0)</f>
        <v>2637</v>
      </c>
      <c r="G118" s="2150">
        <f ca="1">ROUND(IF(D32="楼面单价",C35,F118*10000/B118),0)</f>
        <v>3967</v>
      </c>
      <c r="H118" s="2150">
        <f ca="1">ROUND(IF(D32="总价",C32,I118*B118/10000),0)</f>
        <v>4515</v>
      </c>
      <c r="I118" s="2150">
        <f ca="1">ROUND(IF(D32="楼面单价",C32,H118*10000/B118),0)</f>
        <v>6792</v>
      </c>
    </row>
    <row r="119" spans="1:27" ht="18.75" customHeight="1">
      <c r="A119" s="3256" t="s">
        <v>1452</v>
      </c>
      <c r="B119" s="3256"/>
      <c r="C119" s="3256"/>
      <c r="D119" s="3296" t="str">
        <f ca="1">NUMBERSTRING(INT(D118*10000),2)&amp;"元整"</f>
        <v>壹仟捌佰柒拾捌万元整</v>
      </c>
      <c r="E119" s="3298"/>
      <c r="F119" s="3296" t="str">
        <f ca="1">NUMBERSTRING(INT(F118*10000),2)&amp;"元整"</f>
        <v>贰仟陆佰叁拾柒万元整</v>
      </c>
      <c r="G119" s="3298"/>
      <c r="H119" s="3296" t="str">
        <f ca="1">NUMBERSTRING(INT(H118*10000),2)&amp;"元整"</f>
        <v>肆仟伍佰壹拾伍万元整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4515</v>
      </c>
      <c r="E122" s="3321"/>
      <c r="F122" s="3321"/>
      <c r="G122" s="3321"/>
      <c r="H122" s="3321"/>
      <c r="I122" s="3322"/>
      <c r="AA122" s="684"/>
    </row>
    <row r="123" spans="1:27" ht="18.75" customHeight="1">
      <c r="A123" s="3256" t="s">
        <v>1452</v>
      </c>
      <c r="B123" s="3256"/>
      <c r="C123" s="3256"/>
      <c r="D123" s="3296" t="str">
        <f ca="1">NUMBERSTRING(INT(D122*10000),2)&amp;"元整"</f>
        <v>肆仟伍佰壹拾伍万元整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90" zoomScaleNormal="70" zoomScaleSheetLayoutView="9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3692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1289</v>
      </c>
      <c r="D5" s="203" t="s">
        <v>1469</v>
      </c>
      <c r="E5" s="204" t="s">
        <v>1470</v>
      </c>
      <c r="F5" s="204" t="s">
        <v>1471</v>
      </c>
      <c r="G5" s="205"/>
    </row>
    <row r="6" spans="1:9" s="206" customFormat="1" ht="13.5" customHeight="1">
      <c r="A6" s="732" t="s">
        <v>1472</v>
      </c>
      <c r="B6" s="207" t="s">
        <v>1473</v>
      </c>
      <c r="C6" s="208">
        <f>基准地价修正!B2</f>
        <v>1122</v>
      </c>
      <c r="D6" s="209"/>
      <c r="E6" s="210"/>
      <c r="F6" s="210"/>
      <c r="G6" s="211"/>
    </row>
    <row r="7" spans="1:9" s="206" customFormat="1" ht="13.5" customHeight="1">
      <c r="A7" s="732" t="s">
        <v>1474</v>
      </c>
      <c r="B7" s="207" t="s">
        <v>1475</v>
      </c>
      <c r="C7" s="212">
        <f>ROUND(C6*F7,0)</f>
        <v>34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133</v>
      </c>
      <c r="D8" s="214"/>
      <c r="E8" s="212"/>
      <c r="F8" s="213"/>
      <c r="G8" s="1714" t="s">
        <v>3422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3423</v>
      </c>
      <c r="H9" s="1070"/>
      <c r="I9" s="1716" t="s">
        <v>1479</v>
      </c>
    </row>
    <row r="10" spans="1:9" s="206" customFormat="1" ht="13.5" customHeight="1">
      <c r="A10" s="733" t="s">
        <v>356</v>
      </c>
      <c r="B10" s="216" t="s">
        <v>1480</v>
      </c>
      <c r="C10" s="217">
        <f ca="1">ROUND(D10*E10/10000,0)</f>
        <v>133</v>
      </c>
      <c r="D10" s="795">
        <f ca="1">IF(B1="",'数据-汇总表'!E6,IF(INDIRECT("'数据-取费表'!c"&amp;$G$1)="住宅",INDIRECT("'数据-取费表'!s"&amp;$G$1),INDIRECT("'数据-取费表'!k"&amp;$G$1)+INDIRECT("'数据-取费表'!s"&amp;$G$1)))</f>
        <v>6647.2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6647.2</v>
      </c>
      <c r="E19" s="203">
        <f>'数据-取费表'!B31</f>
        <v>200</v>
      </c>
      <c r="F19" s="223"/>
      <c r="G19" s="1714" t="s">
        <v>3424</v>
      </c>
    </row>
    <row r="20" spans="1:7" s="206" customFormat="1" ht="13.5" customHeight="1">
      <c r="A20" s="247" t="s">
        <v>1493</v>
      </c>
      <c r="B20" s="202" t="s">
        <v>1494</v>
      </c>
      <c r="C20" s="224">
        <f ca="1">ROUND((C5+C19)*F20,0)</f>
        <v>26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1536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2481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2194</v>
      </c>
      <c r="D34" s="209"/>
      <c r="E34" s="212"/>
      <c r="F34" s="249">
        <f ca="1">IF('数据-取费表'!B24=0,1,IF(B1="",'数据-取费表'!N16,INDIRECT("'数据-取费表'!n"&amp;$G$1)))</f>
        <v>1</v>
      </c>
      <c r="G34" s="211" t="s">
        <v>1526</v>
      </c>
    </row>
    <row r="35" spans="1:7" ht="13.5" customHeight="1">
      <c r="A35" s="734" t="s">
        <v>351</v>
      </c>
      <c r="B35" s="207" t="s">
        <v>1527</v>
      </c>
      <c r="C35" s="212">
        <f ca="1">ROUND(C34*F35,0)</f>
        <v>110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133</v>
      </c>
      <c r="D37" s="209">
        <f ca="1">D19</f>
        <v>6647.2</v>
      </c>
      <c r="E37" s="241">
        <f>'数据-取费表'!B35</f>
        <v>200</v>
      </c>
      <c r="F37" s="251"/>
      <c r="G37" s="253" t="s">
        <v>1532</v>
      </c>
    </row>
    <row r="38" spans="1:7" ht="13.5" customHeight="1">
      <c r="A38" s="734" t="s">
        <v>354</v>
      </c>
      <c r="B38" s="207" t="s">
        <v>1533</v>
      </c>
      <c r="C38" s="212">
        <f ca="1">ROUND(C34*F38,0)</f>
        <v>44</v>
      </c>
      <c r="D38" s="212"/>
      <c r="E38" s="212"/>
      <c r="F38" s="251">
        <f>'数据-取费表'!B36</f>
        <v>0.02</v>
      </c>
      <c r="G38" s="211" t="s">
        <v>1528</v>
      </c>
    </row>
    <row r="39" spans="1:7" s="206" customFormat="1" ht="13.5" customHeight="1">
      <c r="A39" s="247" t="s">
        <v>1534</v>
      </c>
      <c r="B39" s="202" t="s">
        <v>1535</v>
      </c>
      <c r="C39" s="224">
        <f ca="1">ROUND(C33*F20,0)</f>
        <v>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38</v>
      </c>
      <c r="D42" s="230"/>
      <c r="E42" s="230"/>
      <c r="F42" s="231"/>
      <c r="G42" s="3336" t="s">
        <v>1544</v>
      </c>
    </row>
    <row r="43" spans="1:7" ht="13.5" customHeight="1">
      <c r="A43" s="734" t="s">
        <v>347</v>
      </c>
      <c r="B43" s="207" t="s">
        <v>1545</v>
      </c>
      <c r="C43" s="230">
        <f ca="1">ROUND(IF('数据-取费表'!B22&lt;=1,C39*F22*'数据-取费表'!B21/2,C39*(POWER((1+F22),'数据-取费表'!B21/2)-1)),0)</f>
        <v>1</v>
      </c>
      <c r="D43" s="230"/>
      <c r="E43" s="230"/>
      <c r="F43" s="231"/>
      <c r="G43" s="3337"/>
    </row>
    <row r="44" spans="1:7" ht="13.5" customHeight="1">
      <c r="A44" s="734" t="s">
        <v>348</v>
      </c>
      <c r="B44" s="207" t="s">
        <v>1546</v>
      </c>
      <c r="C44" s="230">
        <f ca="1">ROUND(IF('数据-取费表'!B22&lt;=1,C40*F22*'数据-取费表'!B21/2,C40*(POWER((1+F22),'数据-取费表'!B21/2)-1)),4)</f>
        <v>2.9999999999999997E-4</v>
      </c>
      <c r="D44" s="230"/>
      <c r="E44" s="230"/>
      <c r="F44" s="231"/>
      <c r="G44" s="3338"/>
    </row>
    <row r="45" spans="1:7" s="206" customFormat="1" ht="13.5" customHeight="1">
      <c r="A45" s="247" t="s">
        <v>1547</v>
      </c>
      <c r="B45" s="236" t="s">
        <v>1513</v>
      </c>
      <c r="C45" s="237">
        <f ca="1">C46</f>
        <v>127</v>
      </c>
      <c r="D45" s="227">
        <f ca="1">C47</f>
        <v>1E-3</v>
      </c>
      <c r="E45" s="228" t="s">
        <v>1539</v>
      </c>
      <c r="F45" s="238">
        <f ca="1">F27</f>
        <v>0.05</v>
      </c>
      <c r="G45" s="239" t="s">
        <v>1548</v>
      </c>
    </row>
    <row r="46" spans="1:7" s="206" customFormat="1" ht="13.5" customHeight="1">
      <c r="A46" s="734" t="s">
        <v>346</v>
      </c>
      <c r="B46" s="240" t="s">
        <v>1549</v>
      </c>
      <c r="C46" s="241">
        <f ca="1">ROUND((C33+C39)*F27,0)</f>
        <v>127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2914</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2156</v>
      </c>
      <c r="D51" s="224"/>
      <c r="E51" s="224"/>
      <c r="F51" s="256"/>
      <c r="G51" s="226" t="s">
        <v>1560</v>
      </c>
    </row>
    <row r="52" spans="1:7" s="200" customFormat="1" ht="16.5" thickBot="1">
      <c r="A52" s="257" t="s">
        <v>1561</v>
      </c>
      <c r="B52" s="258"/>
      <c r="C52" s="259">
        <f ca="1">C31+C51</f>
        <v>3692</v>
      </c>
      <c r="D52" s="258"/>
      <c r="E52" s="258"/>
      <c r="F52" s="258"/>
      <c r="G52" s="260"/>
    </row>
    <row r="55" spans="1:7" ht="15">
      <c r="B55" s="262" t="s">
        <v>1562</v>
      </c>
      <c r="C55" s="263"/>
    </row>
    <row r="56" spans="1:7">
      <c r="B56" s="265" t="s">
        <v>802</v>
      </c>
      <c r="C56" s="267">
        <f ca="1">1-C57</f>
        <v>0.41600000000000004</v>
      </c>
    </row>
    <row r="57" spans="1:7">
      <c r="B57" s="265" t="s">
        <v>803</v>
      </c>
      <c r="C57" s="266">
        <f ca="1">ROUND(C51/C52,3)</f>
        <v>0.58399999999999996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2472.0783999999999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3719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1329440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1329440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1329440</v>
      </c>
      <c r="D10" s="795">
        <f ca="1">IF(B1="",'数据-汇总表'!E6,IF(INDIRECT("'数据-取费表'!c"&amp;$G$1)="住宅",INDIRECT("'数据-取费表'!s"&amp;$G$1),INDIRECT("'数据-取费表'!k"&amp;$G$1)+INDIRECT("'数据-取费表'!s"&amp;$G$1)))</f>
        <v>6647.2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1329440</v>
      </c>
      <c r="D19" s="204">
        <f ca="1">D9+D10</f>
        <v>6647.2</v>
      </c>
      <c r="E19" s="203">
        <f>'数据-取费表'!B31</f>
        <v>200</v>
      </c>
      <c r="F19" s="223"/>
      <c r="G19" s="1714"/>
    </row>
    <row r="20" spans="1:7" s="206" customFormat="1" ht="13.5" customHeight="1">
      <c r="A20" s="247" t="s">
        <v>1574</v>
      </c>
      <c r="B20" s="202" t="s">
        <v>1575</v>
      </c>
      <c r="C20" s="224">
        <f ca="1">ROUND((C5+C19)*F20,0)</f>
        <v>53178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83250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41213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41213</v>
      </c>
      <c r="D24" s="230"/>
      <c r="E24" s="230"/>
      <c r="F24" s="231"/>
      <c r="G24" s="232" t="s">
        <v>1586</v>
      </c>
    </row>
    <row r="25" spans="1:7" s="206" customFormat="1" ht="24">
      <c r="A25" s="734" t="s">
        <v>1476</v>
      </c>
      <c r="B25" s="207" t="s">
        <v>1587</v>
      </c>
      <c r="C25" s="230">
        <f ca="1">ROUND(IF('数据-取费表'!B22&lt;=1,C20*F22*'数据-取费表'!B22/2,C20*(POWER((1+F22),'数据-取费表'!B22/2)-1)),0)</f>
        <v>824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135603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135603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3167183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24800703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21935760</v>
      </c>
      <c r="D34" s="209"/>
      <c r="E34" s="212"/>
      <c r="F34" s="249"/>
      <c r="G34" s="211"/>
    </row>
    <row r="35" spans="1:7" ht="13.5" customHeight="1">
      <c r="A35" s="734" t="s">
        <v>351</v>
      </c>
      <c r="B35" s="207" t="s">
        <v>1527</v>
      </c>
      <c r="C35" s="212">
        <f ca="1">ROUND(C34*F35,0)</f>
        <v>1096788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1329440</v>
      </c>
      <c r="D37" s="209">
        <f ca="1">D19</f>
        <v>6647.2</v>
      </c>
      <c r="E37" s="241">
        <f>'数据-取费表'!B35</f>
        <v>200</v>
      </c>
      <c r="F37" s="251"/>
      <c r="G37" s="253"/>
    </row>
    <row r="38" spans="1:7" ht="13.5" customHeight="1">
      <c r="A38" s="734" t="s">
        <v>354</v>
      </c>
      <c r="B38" s="207" t="s">
        <v>1533</v>
      </c>
      <c r="C38" s="212">
        <f ca="1">ROUND(C34*F38,0)</f>
        <v>438715</v>
      </c>
      <c r="D38" s="212"/>
      <c r="E38" s="212"/>
      <c r="F38" s="251">
        <f>'数据-取费表'!B36</f>
        <v>0.02</v>
      </c>
      <c r="G38" s="211" t="s">
        <v>1528</v>
      </c>
    </row>
    <row r="39" spans="1:7" s="206" customFormat="1" ht="13.5" customHeight="1">
      <c r="A39" s="247" t="s">
        <v>1534</v>
      </c>
      <c r="B39" s="202" t="s">
        <v>1535</v>
      </c>
      <c r="C39" s="224">
        <f ca="1">ROUND(C33*F20,0)</f>
        <v>496014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392099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384411</v>
      </c>
      <c r="D42" s="230"/>
      <c r="E42" s="230"/>
      <c r="F42" s="231"/>
      <c r="G42" s="3336" t="s">
        <v>1591</v>
      </c>
    </row>
    <row r="43" spans="1:7" ht="13.5" customHeight="1">
      <c r="A43" s="734" t="s">
        <v>347</v>
      </c>
      <c r="B43" s="207" t="s">
        <v>1545</v>
      </c>
      <c r="C43" s="230">
        <f ca="1">ROUND(IF('数据-取费表'!B22&lt;=1,C39*F22*'数据-取费表'!B20/2,C39*(POWER((1+F22),'数据-取费表'!B20/2)-1)),0)</f>
        <v>7688</v>
      </c>
      <c r="D43" s="230"/>
      <c r="E43" s="230"/>
      <c r="F43" s="231"/>
      <c r="G43" s="3337"/>
    </row>
    <row r="44" spans="1:7" ht="13.5" customHeight="1">
      <c r="A44" s="734" t="s">
        <v>348</v>
      </c>
      <c r="B44" s="207" t="s">
        <v>1546</v>
      </c>
      <c r="C44" s="230">
        <f ca="1">ROUND(IF('数据-取费表'!B22&lt;=1,C40*F22*'数据-取费表'!B20/2,C40*(POWER((1+F22),'数据-取费表'!B20/2)-1)),4)</f>
        <v>2.9999999999999997E-4</v>
      </c>
      <c r="D44" s="230"/>
      <c r="E44" s="230"/>
      <c r="F44" s="231"/>
      <c r="G44" s="3338"/>
    </row>
    <row r="45" spans="1:7" s="206" customFormat="1" ht="13.5" customHeight="1">
      <c r="A45" s="247" t="s">
        <v>1547</v>
      </c>
      <c r="B45" s="236" t="s">
        <v>1513</v>
      </c>
      <c r="C45" s="237">
        <f ca="1">C46</f>
        <v>1264836</v>
      </c>
      <c r="D45" s="227">
        <f ca="1">C47</f>
        <v>1E-3</v>
      </c>
      <c r="E45" s="228" t="s">
        <v>1539</v>
      </c>
      <c r="F45" s="238">
        <f ca="1">F27</f>
        <v>0.05</v>
      </c>
      <c r="G45" s="239" t="s">
        <v>1548</v>
      </c>
    </row>
    <row r="46" spans="1:7" s="206" customFormat="1" ht="13.5" customHeight="1">
      <c r="A46" s="734" t="s">
        <v>346</v>
      </c>
      <c r="B46" s="240" t="s">
        <v>1549</v>
      </c>
      <c r="C46" s="241">
        <f ca="1">ROUND((C33+C39)*F27,0)</f>
        <v>1264836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29126488</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21553601</v>
      </c>
      <c r="D51" s="224"/>
      <c r="E51" s="224"/>
      <c r="F51" s="256"/>
      <c r="G51" s="226" t="s">
        <v>1560</v>
      </c>
    </row>
    <row r="52" spans="1:7" s="200" customFormat="1" ht="16.5" thickBot="1">
      <c r="A52" s="257" t="s">
        <v>1561</v>
      </c>
      <c r="B52" s="258"/>
      <c r="C52" s="259">
        <f ca="1">C31+C51</f>
        <v>24720784</v>
      </c>
      <c r="D52" s="258"/>
      <c r="E52" s="258"/>
      <c r="F52" s="258"/>
      <c r="G52" s="260"/>
    </row>
    <row r="55" spans="1:7" ht="15">
      <c r="B55" s="262" t="s">
        <v>1562</v>
      </c>
      <c r="C55" s="263"/>
    </row>
    <row r="56" spans="1:7">
      <c r="B56" s="265" t="s">
        <v>802</v>
      </c>
      <c r="C56" s="267">
        <f ca="1">1-C57</f>
        <v>0.128</v>
      </c>
    </row>
    <row r="57" spans="1:7">
      <c r="B57" s="265" t="s">
        <v>803</v>
      </c>
      <c r="C57" s="266">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6647.2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6647.2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133</v>
      </c>
      <c r="D20" s="796">
        <f ca="1">IF(C1="",'数据-汇总表'!E6,IF(INDIRECT("'数据-取费表'!c"&amp;$K$1)="住宅",INDIRECT("'数据-取费表'!s"&amp;$K$1),INDIRECT("'数据-取费表'!k"&amp;$K$1)+INDIRECT("'数据-取费表'!s"&amp;$K$1)))</f>
        <v>6647.2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E7" zoomScaleNormal="80" zoomScaleSheetLayoutView="100" workbookViewId="0">
      <selection activeCell="M25" sqref="M25:P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6647.2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1122</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2409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1688</v>
      </c>
      <c r="C3" s="1846" t="s">
        <v>1941</v>
      </c>
      <c r="D3" s="162" t="s">
        <v>1942</v>
      </c>
      <c r="E3" s="3119" t="s">
        <v>2470</v>
      </c>
      <c r="F3" s="1848" t="s">
        <v>3410</v>
      </c>
      <c r="G3" s="708">
        <f>IF(F3="宗地容积率",'数据-汇总表'!I4,IF(F3="估价对象容积率",'数据-汇总表'!I6,'数据-汇总表'!I7))</f>
        <v>1.02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1899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1605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1667</v>
      </c>
      <c r="D5" s="1252">
        <f>ROUND(C6*C17+C20,0)</f>
        <v>1667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1415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1360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1700</v>
      </c>
      <c r="N7" s="813">
        <f>SUMPRODUCT((因素修正幅度!B190:B233=I2)*(因素修正幅度!C3:G3=E2)*(因素修正幅度!C190:G233))</f>
        <v>0.05</v>
      </c>
      <c r="O7" s="1056"/>
      <c r="P7" s="1056"/>
      <c r="Q7" s="1056"/>
      <c r="R7" s="1129">
        <v>6</v>
      </c>
      <c r="S7" s="3118"/>
      <c r="T7" s="3064">
        <f t="shared" si="0"/>
        <v>0</v>
      </c>
      <c r="U7" s="1130"/>
      <c r="V7" s="3064">
        <f t="shared" si="1"/>
        <v>0</v>
      </c>
      <c r="W7" s="1267" t="s">
        <v>1955</v>
      </c>
      <c r="X7" s="1131" t="str">
        <f>G2</f>
        <v>七级</v>
      </c>
      <c r="Y7" s="1131" t="s">
        <v>1956</v>
      </c>
      <c r="Z7" s="1132">
        <f>G3</f>
        <v>1.02</v>
      </c>
      <c r="AA7" s="1133"/>
      <c r="AB7" s="1133"/>
      <c r="AC7" s="1134"/>
      <c r="AD7" s="1135"/>
      <c r="AE7" s="1135"/>
      <c r="AF7" s="1135"/>
      <c r="AG7" s="1135"/>
      <c r="AH7" s="1135"/>
      <c r="AI7" s="1135"/>
      <c r="AJ7" s="1136"/>
    </row>
    <row r="8" spans="1:36" ht="25.5">
      <c r="A8" s="3010"/>
      <c r="B8" s="162" t="s">
        <v>1957</v>
      </c>
      <c r="C8" s="1870" t="s">
        <v>3411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-33</v>
      </c>
      <c r="D20" s="3047" t="s">
        <v>1998</v>
      </c>
      <c r="E20" s="3048"/>
      <c r="F20" s="3457" t="s">
        <v>1995</v>
      </c>
      <c r="G20" s="3458"/>
      <c r="H20" s="3033" t="s">
        <v>3413</v>
      </c>
      <c r="I20" s="3033" t="s">
        <v>3414</v>
      </c>
      <c r="J20" s="3034" t="s">
        <v>3415</v>
      </c>
      <c r="K20" s="1889" t="s">
        <v>3416</v>
      </c>
      <c r="L20" s="1889" t="s">
        <v>3417</v>
      </c>
      <c r="M20" s="1889" t="s">
        <v>3418</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3412</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45695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0.86919999999999997</v>
      </c>
      <c r="D24" s="1902" t="s">
        <v>2007</v>
      </c>
      <c r="E24" s="1248">
        <f>存贷款利率!E27/100</f>
        <v>4.3499999999999997E-2</v>
      </c>
      <c r="F24" s="1902" t="s">
        <v>1999</v>
      </c>
      <c r="G24" s="724">
        <f>SUMIF(M30:Q30,E2,M33:Q33)</f>
        <v>0.05</v>
      </c>
      <c r="H24" s="1902" t="s">
        <v>2008</v>
      </c>
      <c r="I24" s="725">
        <f>SUMIF('数据-取费表'!C6:C15,E2,'数据-取费表'!F6:F15)/COUNTIF('数据-取费表'!C6:C15,E2)</f>
        <v>32.32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1.0523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1.0523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1.0225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1122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1688</v>
      </c>
      <c r="D33" s="1940">
        <f>'数据-汇总表'!F19</f>
        <v>6647.2</v>
      </c>
      <c r="E33" s="727">
        <f>ROUND(C33*D33/10000,0)</f>
        <v>1122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962</v>
      </c>
      <c r="D37" s="1940"/>
      <c r="E37" s="163">
        <f>ROUND(C37*D37/10000,0)</f>
        <v>0</v>
      </c>
      <c r="F37" s="163">
        <f>SUMIF(修正!A57:A68,G2,修正!B57:B68)</f>
        <v>0.6</v>
      </c>
      <c r="G37" s="163">
        <f>ROUND(IF(E2="工业",C37*$M$42,C37*$M$41),0)</f>
        <v>144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481</v>
      </c>
      <c r="D38" s="1940"/>
      <c r="E38" s="163">
        <f t="shared" ref="E38:E42" si="4">ROUND(C38*D38/10000,0)</f>
        <v>0</v>
      </c>
      <c r="F38" s="163">
        <f>SUMIF(修正!A57:A68,G2,修正!C57:C68)</f>
        <v>0.3</v>
      </c>
      <c r="G38" s="163">
        <f>ROUND(IF(E2="工业",C38*$M$42,C38*$M$41),0)</f>
        <v>72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401</v>
      </c>
      <c r="D39" s="1940"/>
      <c r="E39" s="163">
        <f t="shared" si="4"/>
        <v>0</v>
      </c>
      <c r="F39" s="163">
        <f>SUMIF(修正!A57:A68,G2,修正!D57:D68)</f>
        <v>0.25</v>
      </c>
      <c r="G39" s="163">
        <f>ROUND(IF(E2="工业",C39*$M$42,C39*$M$41),0)</f>
        <v>60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401</v>
      </c>
      <c r="D40" s="1940"/>
      <c r="E40" s="163">
        <f t="shared" si="4"/>
        <v>0</v>
      </c>
      <c r="F40" s="167">
        <f>SUMIF(修正!A57:A68,G2,修正!E57:E68)</f>
        <v>0.25</v>
      </c>
      <c r="G40" s="163">
        <f>ROUND(IF(E2="工业",C40*$M$42,C40*$M$41),0)</f>
        <v>60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1.0225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3420</v>
      </c>
      <c r="D83" s="1002">
        <f t="shared" ref="D83:D90" si="22">SUMIF($J$82:$N$82,C83,J83:N83)</f>
        <v>6.4999999999999997E-3</v>
      </c>
      <c r="E83" s="702">
        <f>ROUND(SUM(D83:D90),4)</f>
        <v>2.2499999999999999E-2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3420</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3420</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3421</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3420</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3420</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3420</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3421</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1.02</v>
      </c>
      <c r="C116" s="3100" t="s">
        <v>3304</v>
      </c>
      <c r="D116" s="3101">
        <f>SUMPRODUCT((A118:A122=F116)*(B117:M117=H116)*B118:M122)</f>
        <v>0.64280000000000004</v>
      </c>
      <c r="E116" s="162" t="s">
        <v>3305</v>
      </c>
      <c r="F116" s="3102" t="str">
        <f>E2</f>
        <v>工业</v>
      </c>
      <c r="G116" s="162" t="s">
        <v>3306</v>
      </c>
      <c r="H116" s="3102" t="str">
        <f>G2</f>
        <v>七级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0.98560000000000003</v>
      </c>
      <c r="C118" s="3090">
        <f>B118</f>
        <v>0.98560000000000003</v>
      </c>
      <c r="D118" s="3090">
        <f>ROUND(0.949-0.014*B116,4)</f>
        <v>0.93469999999999998</v>
      </c>
      <c r="E118" s="3090">
        <f>D118</f>
        <v>0.93469999999999998</v>
      </c>
      <c r="F118" s="3090">
        <f>E118</f>
        <v>0.93469999999999998</v>
      </c>
      <c r="G118" s="3090">
        <f>F118</f>
        <v>0.93469999999999998</v>
      </c>
      <c r="H118" s="3090">
        <f>G118</f>
        <v>0.93469999999999998</v>
      </c>
      <c r="I118" s="3090">
        <f>ROUND(0.8486-0.018*B116,4)</f>
        <v>0.83020000000000005</v>
      </c>
      <c r="J118" s="3090">
        <f t="shared" ref="J118:M122" si="36">I118</f>
        <v>0.83020000000000005</v>
      </c>
      <c r="K118" s="3090">
        <f t="shared" si="36"/>
        <v>0.83020000000000005</v>
      </c>
      <c r="L118" s="3090">
        <f t="shared" si="36"/>
        <v>0.83020000000000005</v>
      </c>
      <c r="M118" s="3110">
        <f t="shared" si="36"/>
        <v>0.83020000000000005</v>
      </c>
      <c r="N118" s="3098"/>
    </row>
    <row r="119" spans="1:14">
      <c r="A119" s="3058" t="s">
        <v>3320</v>
      </c>
      <c r="B119" s="3090">
        <f>ROUND(0.993-0.0112*B116,4)</f>
        <v>0.98160000000000003</v>
      </c>
      <c r="C119" s="3090">
        <f>B119</f>
        <v>0.98160000000000003</v>
      </c>
      <c r="D119" s="3090">
        <f>ROUND(0.9415-0.0142*B116,4)</f>
        <v>0.92700000000000005</v>
      </c>
      <c r="E119" s="3090">
        <f t="shared" ref="E119:H120" si="37">D119</f>
        <v>0.92700000000000005</v>
      </c>
      <c r="F119" s="3090">
        <f t="shared" si="37"/>
        <v>0.92700000000000005</v>
      </c>
      <c r="G119" s="3090">
        <f t="shared" si="37"/>
        <v>0.92700000000000005</v>
      </c>
      <c r="H119" s="3090">
        <f t="shared" si="37"/>
        <v>0.92700000000000005</v>
      </c>
      <c r="I119" s="3090">
        <f>ROUND(0.838-0.0182*B116,4)</f>
        <v>0.81940000000000002</v>
      </c>
      <c r="J119" s="3090">
        <f t="shared" si="36"/>
        <v>0.81940000000000002</v>
      </c>
      <c r="K119" s="3090">
        <f t="shared" si="36"/>
        <v>0.81940000000000002</v>
      </c>
      <c r="L119" s="3090">
        <f t="shared" si="36"/>
        <v>0.81940000000000002</v>
      </c>
      <c r="M119" s="3110">
        <f t="shared" si="36"/>
        <v>0.81940000000000002</v>
      </c>
      <c r="N119" s="3098"/>
    </row>
    <row r="120" spans="1:14">
      <c r="A120" s="3058" t="s">
        <v>3321</v>
      </c>
      <c r="B120" s="3090">
        <f>ROUND(0.9448-0.0115*B116,4)</f>
        <v>0.93310000000000004</v>
      </c>
      <c r="C120" s="3090">
        <f>B120</f>
        <v>0.93310000000000004</v>
      </c>
      <c r="D120" s="3090">
        <f>ROUND(0.937-0.0145*B116,4)</f>
        <v>0.92220000000000002</v>
      </c>
      <c r="E120" s="3090">
        <f t="shared" si="37"/>
        <v>0.92220000000000002</v>
      </c>
      <c r="F120" s="3090">
        <f t="shared" si="37"/>
        <v>0.92220000000000002</v>
      </c>
      <c r="G120" s="3090">
        <f t="shared" si="37"/>
        <v>0.92220000000000002</v>
      </c>
      <c r="H120" s="3090">
        <f t="shared" si="37"/>
        <v>0.92220000000000002</v>
      </c>
      <c r="I120" s="3090">
        <f>ROUND(0.7965-0.0185*B116,4)</f>
        <v>0.77759999999999996</v>
      </c>
      <c r="J120" s="3090">
        <f t="shared" si="36"/>
        <v>0.77759999999999996</v>
      </c>
      <c r="K120" s="3090">
        <f t="shared" si="36"/>
        <v>0.77759999999999996</v>
      </c>
      <c r="L120" s="3090">
        <f t="shared" si="36"/>
        <v>0.77759999999999996</v>
      </c>
      <c r="M120" s="3110">
        <f t="shared" si="36"/>
        <v>0.77759999999999996</v>
      </c>
      <c r="N120" s="3098"/>
    </row>
    <row r="121" spans="1:14" ht="13.5" thickBot="1">
      <c r="A121" s="3111" t="s">
        <v>3322</v>
      </c>
      <c r="B121" s="3112">
        <f>ROUND(0.7836-0.012*B116,4)</f>
        <v>0.77139999999999997</v>
      </c>
      <c r="C121" s="3112">
        <f>B121</f>
        <v>0.77139999999999997</v>
      </c>
      <c r="D121" s="3112">
        <f>ROUND(0.753-0.015*B116,4)</f>
        <v>0.73770000000000002</v>
      </c>
      <c r="E121" s="3112">
        <f>D121</f>
        <v>0.73770000000000002</v>
      </c>
      <c r="F121" s="3112">
        <f>E121</f>
        <v>0.73770000000000002</v>
      </c>
      <c r="G121" s="3112">
        <f>ROUND(0.6612-0.018*B116,4)</f>
        <v>0.64280000000000004</v>
      </c>
      <c r="H121" s="3112">
        <f>G121</f>
        <v>0.64280000000000004</v>
      </c>
      <c r="I121" s="3112">
        <f>ROUND(0.5905-0.019*B116,4)</f>
        <v>0.57110000000000005</v>
      </c>
      <c r="J121" s="3112">
        <f t="shared" si="36"/>
        <v>0.57110000000000005</v>
      </c>
      <c r="K121" s="3112">
        <f t="shared" si="36"/>
        <v>0.57110000000000005</v>
      </c>
      <c r="L121" s="3112">
        <f t="shared" si="36"/>
        <v>0.57110000000000005</v>
      </c>
      <c r="M121" s="3113">
        <f t="shared" si="36"/>
        <v>0.57110000000000005</v>
      </c>
      <c r="N121" s="3098"/>
    </row>
    <row r="122" spans="1:14">
      <c r="A122" s="3114" t="s">
        <v>2603</v>
      </c>
      <c r="B122" s="3090">
        <f>ROUND(0.9404-0.0106*B116,4)</f>
        <v>0.92959999999999998</v>
      </c>
      <c r="C122" s="3090">
        <f>B122</f>
        <v>0.92959999999999998</v>
      </c>
      <c r="D122" s="3090">
        <f>ROUND(0.8955-0.0135*B116,4)</f>
        <v>0.88170000000000004</v>
      </c>
      <c r="E122" s="3090">
        <f t="shared" ref="E122:H122" si="38">D122</f>
        <v>0.88170000000000004</v>
      </c>
      <c r="F122" s="3090">
        <f t="shared" si="38"/>
        <v>0.88170000000000004</v>
      </c>
      <c r="G122" s="3090">
        <f t="shared" si="38"/>
        <v>0.88170000000000004</v>
      </c>
      <c r="H122" s="3090">
        <f t="shared" si="38"/>
        <v>0.88170000000000004</v>
      </c>
      <c r="I122" s="3090">
        <f>ROUND(0.7632-0.0166*B116,4)</f>
        <v>0.74629999999999996</v>
      </c>
      <c r="J122" s="3090">
        <f t="shared" si="36"/>
        <v>0.74629999999999996</v>
      </c>
      <c r="K122" s="3090">
        <f t="shared" si="36"/>
        <v>0.74629999999999996</v>
      </c>
      <c r="L122" s="3090">
        <f t="shared" si="36"/>
        <v>0.74629999999999996</v>
      </c>
      <c r="M122" s="3110">
        <f t="shared" si="36"/>
        <v>0.74629999999999996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5064</v>
      </c>
      <c r="C2" s="1289" t="s">
        <v>805</v>
      </c>
      <c r="D2" s="1289"/>
      <c r="E2" s="1295"/>
      <c r="F2" s="1296"/>
      <c r="G2" s="2479"/>
      <c r="H2" s="2469"/>
      <c r="I2" s="2469"/>
      <c r="J2" s="2469"/>
      <c r="K2" s="2470"/>
      <c r="L2" s="2469"/>
      <c r="M2" s="2469"/>
    </row>
    <row r="3" spans="1:37" ht="18" customHeight="1" thickBot="1">
      <c r="A3" s="1297" t="s">
        <v>806</v>
      </c>
      <c r="B3" s="1298">
        <f ca="1">IF(ISERROR(B2*10000/F43),0,ROUND(B2*10000/F43,0))</f>
        <v>7618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328</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328</v>
      </c>
      <c r="D6" s="147" t="s">
        <v>2109</v>
      </c>
      <c r="E6" s="294" t="s">
        <v>696</v>
      </c>
      <c r="F6" s="295">
        <f ca="1">INDIRECT("'数据-取费表'!u"&amp;$G$1)</f>
        <v>1.5</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6647.2</v>
      </c>
      <c r="G7" s="1292"/>
      <c r="H7" s="296"/>
      <c r="I7" s="3342"/>
      <c r="J7" s="298"/>
      <c r="K7" s="299"/>
      <c r="L7" s="294" t="s">
        <v>697</v>
      </c>
      <c r="M7" s="295">
        <f ca="1">F7</f>
        <v>6647.2</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2156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2194</v>
      </c>
      <c r="D14" s="1257" t="s">
        <v>708</v>
      </c>
      <c r="E14" s="1255"/>
      <c r="F14" s="311"/>
      <c r="G14" s="1292"/>
      <c r="H14" s="928" t="s">
        <v>398</v>
      </c>
      <c r="I14" s="294" t="s">
        <v>709</v>
      </c>
      <c r="J14" s="21">
        <f ca="1">C29</f>
        <v>2914</v>
      </c>
      <c r="K14" s="12"/>
      <c r="L14" s="759"/>
      <c r="M14" s="760"/>
    </row>
    <row r="15" spans="1:37" s="1304" customFormat="1" ht="18" customHeight="1" thickBot="1">
      <c r="A15" s="928" t="s">
        <v>399</v>
      </c>
      <c r="B15" s="294" t="s">
        <v>710</v>
      </c>
      <c r="C15" s="21">
        <f ca="1">ROUND(C14*F15,0)</f>
        <v>110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133</v>
      </c>
      <c r="D17" s="294" t="s">
        <v>717</v>
      </c>
      <c r="E17" s="294" t="s">
        <v>718</v>
      </c>
      <c r="F17" s="23">
        <f>'数据-取费表'!B35</f>
        <v>200</v>
      </c>
      <c r="G17" s="1303"/>
      <c r="H17" s="928" t="s">
        <v>398</v>
      </c>
      <c r="I17" s="294" t="s">
        <v>719</v>
      </c>
      <c r="J17" s="2140">
        <f ca="1">ROUND(IF(AND(项目基本情况!B11="自然人",项目基本情况!B10="北京市"),J6*M17/(1+'数据-取费表'!C42),J18+J19+J20),2)</f>
        <v>0.98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2481</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50</v>
      </c>
      <c r="D20" s="315" t="s">
        <v>729</v>
      </c>
      <c r="E20" s="294" t="s">
        <v>712</v>
      </c>
      <c r="F20" s="314">
        <f>'数据-取费表'!B37</f>
        <v>0.02</v>
      </c>
      <c r="G20" s="1303"/>
      <c r="H20" s="928" t="s">
        <v>680</v>
      </c>
      <c r="I20" s="147" t="s">
        <v>730</v>
      </c>
      <c r="J20" s="22">
        <f ca="1">ROUND(M20*M21/10000,2)</f>
        <v>0.98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6544.93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5.83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127</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2914</v>
      </c>
      <c r="D29" s="1029"/>
      <c r="E29" s="1027"/>
      <c r="F29" s="1030"/>
      <c r="G29" s="1303"/>
      <c r="H29" s="325" t="s">
        <v>396</v>
      </c>
      <c r="I29" s="326" t="s">
        <v>768</v>
      </c>
      <c r="J29" s="327">
        <f ca="1">ROUND(J26/(1+F40)^F41,0)</f>
        <v>0</v>
      </c>
      <c r="K29" s="328" t="s">
        <v>769</v>
      </c>
      <c r="L29" s="329"/>
      <c r="M29" s="330">
        <f ca="1">INDIRECT("'数据-取费表'!k"&amp;$G$1)</f>
        <v>6647.2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55.96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17.489999999999998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37.49</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0.98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6544.93</v>
      </c>
      <c r="G35" s="1292"/>
      <c r="H35" s="2471"/>
      <c r="I35" s="1305"/>
      <c r="J35" s="1306"/>
      <c r="K35" s="2475"/>
      <c r="L35" s="2474"/>
      <c r="M35" s="2474"/>
    </row>
    <row r="36" spans="1:18" ht="18" customHeight="1">
      <c r="A36" s="1039" t="s">
        <v>402</v>
      </c>
      <c r="B36" s="294" t="s">
        <v>738</v>
      </c>
      <c r="C36" s="21">
        <f ca="1">ROUND(C29*F36,2)</f>
        <v>5.83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3.28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261</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4951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7448</v>
      </c>
      <c r="D43" s="328" t="s">
        <v>777</v>
      </c>
      <c r="E43" s="329" t="s">
        <v>778</v>
      </c>
      <c r="F43" s="330">
        <f ca="1">INDIRECT("'数据-取费表'!k"&amp;$G$1)</f>
        <v>6647.2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-5086</v>
      </c>
      <c r="D46" s="1313" t="str">
        <f>C2</f>
        <v>万元</v>
      </c>
      <c r="E46" s="1307"/>
      <c r="F46" s="1307"/>
      <c r="I46" s="1314" t="s">
        <v>810</v>
      </c>
      <c r="J46" s="1315"/>
      <c r="K46" s="1316"/>
      <c r="L46" s="1317">
        <f ca="1">IF(M47="住宅",0,IF(L48&gt;J51,L60,J60))</f>
        <v>113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4951</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32.32</v>
      </c>
      <c r="O48" s="1325" t="s">
        <v>404</v>
      </c>
      <c r="P48" s="1326" t="s">
        <v>821</v>
      </c>
      <c r="Q48" s="1327">
        <f ca="1">J60</f>
        <v>113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2009</v>
      </c>
      <c r="K49" s="1330" t="s">
        <v>824</v>
      </c>
      <c r="L49" s="1333"/>
      <c r="O49" s="1334" t="s">
        <v>405</v>
      </c>
      <c r="P49" s="1326" t="s">
        <v>825</v>
      </c>
      <c r="Q49" s="1327">
        <f ca="1">C29</f>
        <v>2914</v>
      </c>
      <c r="R49" s="1327" t="s">
        <v>818</v>
      </c>
    </row>
    <row r="50" spans="1:18" s="1292" customFormat="1" ht="13.5" thickBot="1">
      <c r="A50" s="922"/>
      <c r="B50" s="925"/>
      <c r="C50" s="1055"/>
      <c r="D50" s="899"/>
      <c r="E50" s="993" t="s">
        <v>697</v>
      </c>
      <c r="F50" s="994">
        <f ca="1">F7</f>
        <v>6647.2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34</v>
      </c>
      <c r="K51" s="1339" t="s">
        <v>830</v>
      </c>
      <c r="L51" s="1340">
        <f ca="1">ROUND(-PV(INDIRECT("'数据-取费表'!h"&amp;$G$1),J51,(C39-C13*C76),0),0)</f>
        <v>1783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32.32</v>
      </c>
      <c r="K53" s="3339" t="s">
        <v>837</v>
      </c>
      <c r="L53" s="3340"/>
      <c r="O53" s="1325" t="s">
        <v>409</v>
      </c>
      <c r="P53" s="1326" t="s">
        <v>838</v>
      </c>
      <c r="Q53" s="1327">
        <f ca="1">Q47+Q48</f>
        <v>5064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c r="O55" s="1318" t="s">
        <v>811</v>
      </c>
      <c r="P55" s="1319" t="s">
        <v>812</v>
      </c>
      <c r="Q55" s="1320" t="s">
        <v>813</v>
      </c>
      <c r="R55" s="1320" t="s">
        <v>814</v>
      </c>
    </row>
    <row r="56" spans="1:18" s="1292" customFormat="1" ht="25.5" thickTop="1" thickBot="1">
      <c r="A56" s="903">
        <v>2</v>
      </c>
      <c r="B56" s="904" t="s">
        <v>704</v>
      </c>
      <c r="C56" s="224">
        <f ca="1">C13</f>
        <v>2156</v>
      </c>
      <c r="D56" s="1352"/>
      <c r="E56" s="1353"/>
      <c r="F56" s="1345"/>
      <c r="I56" s="1354" t="s">
        <v>842</v>
      </c>
      <c r="J56" s="1355" t="s">
        <v>3408</v>
      </c>
      <c r="K56" s="1328" t="s">
        <v>843</v>
      </c>
      <c r="L56" s="1331" t="str">
        <f ca="1">IF(L48&lt;J51,"——",L48-J53)</f>
        <v>——</v>
      </c>
      <c r="O56" s="1325" t="s">
        <v>403</v>
      </c>
      <c r="P56" s="1326" t="s">
        <v>817</v>
      </c>
      <c r="Q56" s="1327">
        <f ca="1">C40+J29</f>
        <v>4951</v>
      </c>
      <c r="R56" s="1327" t="s">
        <v>818</v>
      </c>
    </row>
    <row r="57" spans="1:18" s="1292" customFormat="1" ht="24.75" thickBot="1">
      <c r="A57" s="1356"/>
      <c r="B57" s="896" t="s">
        <v>767</v>
      </c>
      <c r="C57" s="230">
        <f ca="1">C29</f>
        <v>2914</v>
      </c>
      <c r="D57" s="1357"/>
      <c r="E57" s="1358"/>
      <c r="F57" s="1359"/>
      <c r="I57" s="1360" t="s">
        <v>844</v>
      </c>
      <c r="J57" s="1361">
        <f ca="1">IF(OR(M47="住宅",J51&lt;L48,J56="是"),"——",J51-L48)</f>
        <v>1.6799999999999997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0.98</v>
      </c>
      <c r="D62" s="911" t="s">
        <v>786</v>
      </c>
      <c r="E62" s="896" t="s">
        <v>787</v>
      </c>
      <c r="F62" s="317">
        <f t="shared" si="0"/>
        <v>1.5</v>
      </c>
      <c r="I62" s="1367" t="s">
        <v>858</v>
      </c>
      <c r="J62" s="610" t="s">
        <v>859</v>
      </c>
      <c r="K62" s="610" t="s">
        <v>860</v>
      </c>
      <c r="L62" s="610" t="s">
        <v>861</v>
      </c>
      <c r="M62" s="1368" t="s">
        <v>862</v>
      </c>
      <c r="O62" s="1325" t="s">
        <v>409</v>
      </c>
      <c r="P62" s="1326" t="s">
        <v>863</v>
      </c>
      <c r="Q62" s="1327">
        <f ca="1">Q56+Q57</f>
        <v>4951</v>
      </c>
      <c r="R62" s="1327" t="s">
        <v>410</v>
      </c>
    </row>
    <row r="63" spans="1:18" s="1292" customFormat="1" ht="13.5" thickBot="1">
      <c r="A63" s="318"/>
      <c r="B63" s="902"/>
      <c r="C63" s="26"/>
      <c r="D63" s="912"/>
      <c r="E63" s="896" t="s">
        <v>788</v>
      </c>
      <c r="F63" s="295">
        <f t="shared" ca="1" si="0"/>
        <v>6544.93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5.83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2.16</v>
      </c>
      <c r="D65" s="910" t="s">
        <v>743</v>
      </c>
      <c r="E65" s="896" t="s">
        <v>744</v>
      </c>
      <c r="F65" s="321">
        <f t="shared" ca="1" si="0"/>
        <v>1E-3</v>
      </c>
      <c r="I65" s="1367" t="s">
        <v>867</v>
      </c>
      <c r="J65" s="610">
        <v>40</v>
      </c>
      <c r="K65" s="610">
        <v>30</v>
      </c>
      <c r="L65" s="610">
        <v>50</v>
      </c>
      <c r="M65" s="1369">
        <v>0.02</v>
      </c>
      <c r="O65" s="1325" t="s">
        <v>403</v>
      </c>
      <c r="P65" s="1326" t="s">
        <v>868</v>
      </c>
      <c r="Q65" s="1327">
        <f ca="1">C40+J29</f>
        <v>4951</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v>
      </c>
      <c r="D67" s="909" t="s">
        <v>753</v>
      </c>
      <c r="E67" s="914"/>
      <c r="F67" s="915"/>
      <c r="O67" s="1334" t="s">
        <v>405</v>
      </c>
      <c r="P67" s="1326" t="s">
        <v>850</v>
      </c>
      <c r="Q67" s="1370">
        <f ca="1">L51</f>
        <v>1783</v>
      </c>
      <c r="R67" s="1327" t="s">
        <v>870</v>
      </c>
    </row>
    <row r="68" spans="1:18" s="1292" customFormat="1" ht="16.5" thickBot="1">
      <c r="A68" s="893" t="s">
        <v>395</v>
      </c>
      <c r="B68" s="894" t="s">
        <v>774</v>
      </c>
      <c r="C68" s="293">
        <f ca="1">ROUND(C67*(1-((1+F70)/(1+F68))^F69)/(F68-F70),0)</f>
        <v>-135</v>
      </c>
      <c r="D68" s="911" t="s">
        <v>758</v>
      </c>
      <c r="E68" s="896" t="s">
        <v>759</v>
      </c>
      <c r="F68" s="304">
        <f ca="1">F40</f>
        <v>5.5E-2</v>
      </c>
      <c r="O68" s="1334" t="s">
        <v>406</v>
      </c>
      <c r="P68" s="1371" t="s">
        <v>871</v>
      </c>
      <c r="Q68" s="1327">
        <f ca="1">ROUND(Q69-Q70*Q71,0)</f>
        <v>110</v>
      </c>
      <c r="R68" s="1327" t="s">
        <v>414</v>
      </c>
    </row>
    <row r="69" spans="1:18" s="1292" customFormat="1" ht="13.5" thickBot="1">
      <c r="A69" s="897"/>
      <c r="B69" s="898"/>
      <c r="C69" s="298"/>
      <c r="D69" s="916" t="s">
        <v>762</v>
      </c>
      <c r="E69" s="896" t="s">
        <v>763</v>
      </c>
      <c r="F69" s="324">
        <f ca="1">F41</f>
        <v>32.32</v>
      </c>
      <c r="O69" s="1334" t="s">
        <v>411</v>
      </c>
      <c r="P69" s="1371" t="s">
        <v>872</v>
      </c>
      <c r="Q69" s="1327">
        <f ca="1">C39</f>
        <v>261</v>
      </c>
      <c r="R69" s="1327" t="s">
        <v>818</v>
      </c>
    </row>
    <row r="70" spans="1:18" s="1292" customFormat="1" ht="13.5" thickBot="1">
      <c r="A70" s="900"/>
      <c r="B70" s="901"/>
      <c r="C70" s="302"/>
      <c r="D70" s="912"/>
      <c r="E70" s="896" t="s">
        <v>766</v>
      </c>
      <c r="F70" s="991"/>
      <c r="O70" s="1334" t="s">
        <v>412</v>
      </c>
      <c r="P70" s="1371" t="s">
        <v>873</v>
      </c>
      <c r="Q70" s="1327">
        <f ca="1">C13</f>
        <v>2156</v>
      </c>
      <c r="R70" s="1327" t="s">
        <v>818</v>
      </c>
    </row>
    <row r="71" spans="1:18" s="1292" customFormat="1" ht="13.5" thickBot="1">
      <c r="A71" s="917" t="s">
        <v>396</v>
      </c>
      <c r="B71" s="918" t="s">
        <v>776</v>
      </c>
      <c r="C71" s="327">
        <f ca="1">ROUND(C68*10000/F71,0)</f>
        <v>-203</v>
      </c>
      <c r="D71" s="919" t="s">
        <v>777</v>
      </c>
      <c r="E71" s="920" t="s">
        <v>778</v>
      </c>
      <c r="F71" s="330">
        <f ca="1">F43</f>
        <v>6647.2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151</v>
      </c>
      <c r="D75" s="1292"/>
      <c r="E75" s="1292"/>
      <c r="F75" s="1292"/>
      <c r="K75" s="1309"/>
      <c r="L75" s="1292"/>
      <c r="O75" s="1325" t="s">
        <v>409</v>
      </c>
      <c r="P75" s="1326" t="s">
        <v>838</v>
      </c>
      <c r="Q75" s="1327">
        <f ca="1">Q65+Q66</f>
        <v>4951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0.42100000000000004</v>
      </c>
    </row>
    <row r="80" spans="1:18">
      <c r="B80" s="331" t="s">
        <v>800</v>
      </c>
      <c r="C80" s="266">
        <f ca="1">ROUND(C75/C39,3)</f>
        <v>0.57899999999999996</v>
      </c>
    </row>
    <row r="81" spans="2:3">
      <c r="B81" s="262" t="s">
        <v>801</v>
      </c>
      <c r="C81" s="230"/>
    </row>
    <row r="82" spans="2:3">
      <c r="B82" s="265" t="s">
        <v>802</v>
      </c>
      <c r="C82" s="267">
        <f ca="1">1-C83</f>
        <v>0.56499999999999995</v>
      </c>
    </row>
    <row r="83" spans="2:3">
      <c r="B83" s="265" t="s">
        <v>803</v>
      </c>
      <c r="C83" s="266">
        <f ca="1">ROUND(C13/C40,3)</f>
        <v>0.435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5064</v>
      </c>
      <c r="C2" s="1729" t="s">
        <v>1651</v>
      </c>
      <c r="D2" s="1730" t="s">
        <v>1652</v>
      </c>
      <c r="E2" s="2393">
        <f>SUM(E6:E13)</f>
        <v>6647.2</v>
      </c>
      <c r="F2" s="2480"/>
      <c r="G2" s="459"/>
      <c r="H2" s="459"/>
      <c r="I2" s="459"/>
      <c r="J2" s="459"/>
      <c r="K2" s="459"/>
      <c r="L2" s="459"/>
      <c r="M2" s="459"/>
      <c r="N2" s="459"/>
      <c r="O2" s="459"/>
      <c r="P2" s="459"/>
      <c r="Q2" s="459"/>
      <c r="R2" s="459"/>
      <c r="S2" s="459"/>
    </row>
    <row r="3" spans="1:22" ht="15.75">
      <c r="A3" s="1728" t="s">
        <v>686</v>
      </c>
      <c r="B3" s="2387">
        <f ca="1">ROUND(B2*10000/E2,0)</f>
        <v>7618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5064</v>
      </c>
      <c r="C6" s="1729" t="s">
        <v>1651</v>
      </c>
      <c r="D6" s="2480"/>
      <c r="E6" s="2392">
        <f>IF(OR(A6=0,F6="否"),0,'数据-取费表'!K6+'数据-取费表'!S6)</f>
        <v>6647.2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6647.2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6647.2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6647.2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45695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估价对象为北京市房地产,为开发建设的，该项目尚在开发建设中。根据《国有土地使用证》[]，估价对象（分摊）出让国有建设用地使用权面积为6544.93平方米，规划建筑面积为6647.2平方米。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6647.2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368"/>
      <c r="Q10" s="530" t="str">
        <f t="shared" si="6"/>
        <v>土地使用年限（年）</v>
      </c>
      <c r="R10" s="664" t="s">
        <v>14</v>
      </c>
      <c r="S10" s="665">
        <f t="shared" si="0"/>
        <v>115</v>
      </c>
      <c r="T10" s="664" t="s">
        <v>14</v>
      </c>
      <c r="U10" s="665">
        <f t="shared" si="1"/>
        <v>115</v>
      </c>
      <c r="V10" s="664" t="s">
        <v>14</v>
      </c>
      <c r="W10" s="665">
        <f t="shared" si="2"/>
        <v>115</v>
      </c>
      <c r="X10" s="666"/>
      <c r="Y10" s="324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6647.2</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6647.2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368"/>
      <c r="Q10" s="530" t="str">
        <f t="shared" si="6"/>
        <v>土地使用年限（年）</v>
      </c>
      <c r="R10" s="664" t="s">
        <v>14</v>
      </c>
      <c r="S10" s="665">
        <f t="shared" si="0"/>
        <v>115</v>
      </c>
      <c r="T10" s="664" t="s">
        <v>14</v>
      </c>
      <c r="U10" s="665">
        <f t="shared" si="1"/>
        <v>115</v>
      </c>
      <c r="V10" s="664" t="s">
        <v>14</v>
      </c>
      <c r="W10" s="665">
        <f t="shared" si="2"/>
        <v>115</v>
      </c>
      <c r="X10" s="666"/>
      <c r="Y10" s="324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6647.2</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6544.93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1122</v>
      </c>
      <c r="C2" s="1984" t="s">
        <v>2074</v>
      </c>
      <c r="D2" s="1984" t="s">
        <v>2075</v>
      </c>
      <c r="E2" s="2398">
        <f ca="1">SUMIF(E6:E13,"&lt;&gt;#ref!",E6:E13)</f>
        <v>6647.2</v>
      </c>
      <c r="F2" s="2545"/>
      <c r="G2" s="2545"/>
      <c r="H2" s="2545"/>
      <c r="I2" s="2545"/>
      <c r="J2" s="2545"/>
      <c r="K2" s="2545"/>
      <c r="L2" s="2545"/>
      <c r="M2" s="2545"/>
      <c r="N2" s="2545"/>
      <c r="O2" s="2545"/>
      <c r="P2" s="2545"/>
    </row>
    <row r="3" spans="1:16" ht="15.75">
      <c r="A3" s="1984" t="s">
        <v>2076</v>
      </c>
      <c r="B3" s="2388">
        <f ca="1">ROUND(B2*10000/E2,0)</f>
        <v>1688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1122</v>
      </c>
      <c r="C6" s="1984" t="s">
        <v>2074</v>
      </c>
      <c r="D6" s="2545"/>
      <c r="E6" s="2398">
        <f ca="1">SUMIF(INDIRECT("'"&amp;A6&amp;"'"&amp;"!C:C"),"建筑面积",INDIRECT("'"&amp;A6&amp;"'"&amp;"!D:D"))</f>
        <v>6647.2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01A2E-185D-45FA-8A35-765A48A4E867}">
  <sheetPr>
    <tabColor rgb="FFFFFF00"/>
  </sheetPr>
  <dimension ref="A1"/>
  <sheetViews>
    <sheetView zoomScale="85" zoomScaleNormal="85" workbookViewId="0">
      <selection activeCell="V7" sqref="V7"/>
    </sheetView>
  </sheetViews>
  <sheetFormatPr defaultRowHeight="13.5"/>
  <cols>
    <col min="1" max="16384" width="9" style="3490"/>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4515</v>
      </c>
    </row>
    <row r="6" spans="1:5" ht="15.75">
      <c r="B6" s="3156"/>
      <c r="C6" s="1392" t="s">
        <v>911</v>
      </c>
      <c r="D6" s="797" t="str">
        <f ca="1">NUMBERSTRING(INT(D5*10000),2)&amp;"元整"</f>
        <v>肆仟伍佰壹拾伍万元整</v>
      </c>
    </row>
    <row r="7" spans="1:5" ht="15.75">
      <c r="B7" s="3161"/>
      <c r="C7" s="1393" t="s">
        <v>912</v>
      </c>
      <c r="D7" s="798">
        <f ca="1">结果表!H102</f>
        <v>6792</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4515</v>
      </c>
    </row>
    <row r="14" spans="1:5" ht="15.75">
      <c r="B14" s="3156"/>
      <c r="C14" s="1392" t="s">
        <v>911</v>
      </c>
      <c r="D14" s="797" t="str">
        <f ca="1">NUMBERSTRING(INT(D13*10000),2)&amp;"元整"</f>
        <v>肆仟伍佰壹拾伍万元整</v>
      </c>
    </row>
    <row r="15" spans="1:5" ht="15">
      <c r="B15" s="3161"/>
      <c r="C15" s="1393" t="s">
        <v>921</v>
      </c>
      <c r="D15" s="806">
        <f ca="1">结果表!H108</f>
        <v>6792</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26866</v>
      </c>
      <c r="C2" s="2" t="s">
        <v>106</v>
      </c>
      <c r="D2" s="191"/>
      <c r="E2" s="191"/>
      <c r="F2" s="191"/>
      <c r="G2" s="191"/>
    </row>
    <row r="3" spans="1:7" s="192" customFormat="1" ht="18" customHeight="1" thickBot="1">
      <c r="A3" s="195" t="s">
        <v>58</v>
      </c>
      <c r="B3" s="196">
        <f ca="1">ROUND(B2*10000/'数据-汇总表'!E3,0)</f>
        <v>40417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133</v>
      </c>
      <c r="D10" s="795">
        <f>'数据-汇总表'!E6</f>
        <v>6647.2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133</v>
      </c>
      <c r="D19" s="204">
        <f>'数据-汇总表'!E3</f>
        <v>6647.2</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649</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24709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2481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2194</v>
      </c>
      <c r="D34" s="209"/>
      <c r="E34" s="212"/>
      <c r="F34" s="249">
        <f>IF('数据-取费表'!B24=0,1,'数据-取费表'!N16)</f>
        <v>1</v>
      </c>
      <c r="G34" s="211" t="s">
        <v>89</v>
      </c>
    </row>
    <row r="35" spans="1:7" ht="13.5" customHeight="1">
      <c r="A35" s="734" t="s">
        <v>351</v>
      </c>
      <c r="B35" s="207" t="s">
        <v>33</v>
      </c>
      <c r="C35" s="212">
        <f>ROUND(C34*F35,0)</f>
        <v>110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133</v>
      </c>
      <c r="D37" s="209">
        <f>'数据-汇总表'!E3</f>
        <v>6647.2</v>
      </c>
      <c r="E37" s="241">
        <f>'数据-取费表'!B35</f>
        <v>200</v>
      </c>
      <c r="F37" s="251"/>
      <c r="G37" s="253" t="s">
        <v>92</v>
      </c>
    </row>
    <row r="38" spans="1:7" ht="13.5" customHeight="1">
      <c r="A38" s="734" t="s">
        <v>354</v>
      </c>
      <c r="B38" s="207" t="s">
        <v>36</v>
      </c>
      <c r="C38" s="212">
        <f>ROUND(C34*F38,0)</f>
        <v>44</v>
      </c>
      <c r="D38" s="212"/>
      <c r="E38" s="212"/>
      <c r="F38" s="251">
        <f>'数据-取费表'!B36</f>
        <v>0.02</v>
      </c>
      <c r="G38" s="211" t="s">
        <v>90</v>
      </c>
    </row>
    <row r="39" spans="1:7" s="206" customFormat="1" ht="13.5" customHeight="1">
      <c r="A39" s="731" t="s">
        <v>338</v>
      </c>
      <c r="B39" s="202" t="s">
        <v>77</v>
      </c>
      <c r="C39" s="224">
        <f>ROUND(C33*F20,0)</f>
        <v>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38</v>
      </c>
      <c r="D42" s="230"/>
      <c r="E42" s="230"/>
      <c r="F42" s="231"/>
      <c r="G42" s="3336" t="s">
        <v>94</v>
      </c>
    </row>
    <row r="43" spans="1:7" ht="13.5" customHeight="1">
      <c r="A43" s="734" t="s">
        <v>347</v>
      </c>
      <c r="B43" s="207" t="s">
        <v>426</v>
      </c>
      <c r="C43" s="230">
        <f ca="1">ROUND(IF('数据-取费表'!B22&lt;=1,C39*F22*'数据-取费表'!B21/2,C39*(POWER((1+F22),'数据-取费表'!B21/2)-1)),0)</f>
        <v>1</v>
      </c>
      <c r="D43" s="230"/>
      <c r="E43" s="230"/>
      <c r="F43" s="231"/>
      <c r="G43" s="3337"/>
    </row>
    <row r="44" spans="1:7" ht="13.5" customHeight="1">
      <c r="A44" s="734" t="s">
        <v>348</v>
      </c>
      <c r="B44" s="207" t="s">
        <v>428</v>
      </c>
      <c r="C44" s="230">
        <f ca="1">ROUND(IF('数据-取费表'!B22&lt;=1,C40*F22*'数据-取费表'!B21/2,C40*(POWER((1+F22),'数据-取费表'!B21/2)-1)),4)</f>
        <v>2.9999999999999997E-4</v>
      </c>
      <c r="D44" s="230"/>
      <c r="E44" s="230"/>
      <c r="F44" s="231"/>
      <c r="G44" s="3338"/>
    </row>
    <row r="45" spans="1:7" s="206" customFormat="1" ht="13.5" customHeight="1">
      <c r="A45" s="731" t="s">
        <v>341</v>
      </c>
      <c r="B45" s="236" t="s">
        <v>85</v>
      </c>
      <c r="C45" s="237">
        <f>C46</f>
        <v>127</v>
      </c>
      <c r="D45" s="227">
        <f>C47</f>
        <v>1E-3</v>
      </c>
      <c r="E45" s="228" t="s">
        <v>102</v>
      </c>
      <c r="F45" s="238"/>
      <c r="G45" s="239" t="s">
        <v>434</v>
      </c>
    </row>
    <row r="46" spans="1:7" s="206" customFormat="1" ht="13.5" customHeight="1">
      <c r="A46" s="734" t="s">
        <v>349</v>
      </c>
      <c r="B46" s="240" t="s">
        <v>427</v>
      </c>
      <c r="C46" s="241">
        <f>ROUND((C33+C39)*F27,0)</f>
        <v>127</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2915</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2157</v>
      </c>
      <c r="D51" s="224"/>
      <c r="E51" s="224"/>
      <c r="F51" s="256"/>
      <c r="G51" s="226" t="s">
        <v>37</v>
      </c>
    </row>
    <row r="52" spans="1:7" s="200" customFormat="1" ht="16.5" thickBot="1">
      <c r="A52" s="257" t="s">
        <v>38</v>
      </c>
      <c r="B52" s="258"/>
      <c r="C52" s="259">
        <f ca="1">C31+C51</f>
        <v>26866</v>
      </c>
      <c r="D52" s="258"/>
      <c r="E52" s="258"/>
      <c r="F52" s="258"/>
      <c r="G52" s="260"/>
    </row>
    <row r="55" spans="1:7" ht="15">
      <c r="B55" s="262" t="s">
        <v>39</v>
      </c>
      <c r="C55" s="263"/>
    </row>
    <row r="56" spans="1:7">
      <c r="B56" s="265" t="s">
        <v>40</v>
      </c>
      <c r="C56" s="266">
        <f ca="1">ROUND(C51/C52,3)</f>
        <v>0.08</v>
      </c>
    </row>
    <row r="57" spans="1:7">
      <c r="B57" s="265" t="s">
        <v>41</v>
      </c>
      <c r="C57" s="267">
        <f ca="1">1-C56</f>
        <v>0.92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25" sqref="T25"/>
    </sheetView>
  </sheetViews>
  <sheetFormatPr defaultRowHeight="13.5"/>
  <cols>
    <col min="1" max="1" width="13.875" customWidth="1"/>
    <col min="11" max="17" width="0" hidden="1" customWidth="1"/>
    <col min="25" max="30" width="0" hidden="1" customWidth="1"/>
  </cols>
  <sheetData>
    <row r="1" spans="1:30">
      <c r="A1" s="2938">
        <f>基准地价修正!G23</f>
        <v>45695</v>
      </c>
      <c r="B1" s="2930" t="s">
        <v>3371</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45695</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6647.2</v>
      </c>
      <c r="C4" s="801">
        <f>项目基本情况!C18</f>
        <v>6544.93</v>
      </c>
      <c r="D4" s="801">
        <f ca="1">结果表!D118</f>
        <v>1878</v>
      </c>
      <c r="E4" s="801">
        <f ca="1">结果表!E118</f>
        <v>2825</v>
      </c>
      <c r="F4" s="801">
        <f ca="1">结果表!F118</f>
        <v>2637</v>
      </c>
      <c r="G4" s="801">
        <f ca="1">结果表!G118</f>
        <v>3967</v>
      </c>
      <c r="H4" s="801">
        <f ca="1">结果表!H118</f>
        <v>4515</v>
      </c>
      <c r="I4" s="801">
        <f ca="1">结果表!I118</f>
        <v>6792</v>
      </c>
    </row>
    <row r="5" spans="1:9" ht="30" customHeight="1">
      <c r="A5" s="3168" t="s">
        <v>927</v>
      </c>
      <c r="B5" s="3168"/>
      <c r="C5" s="3168"/>
      <c r="D5" s="3168" t="str">
        <f ca="1">结果表!D119</f>
        <v>壹仟捌佰柒拾捌万元整</v>
      </c>
      <c r="E5" s="3168"/>
      <c r="F5" s="3168" t="str">
        <f ca="1">结果表!F119</f>
        <v>贰仟陆佰叁拾柒万元整</v>
      </c>
      <c r="G5" s="3168"/>
      <c r="H5" s="3168" t="str">
        <f ca="1">结果表!H119</f>
        <v>肆仟伍佰壹拾伍万元整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4515</v>
      </c>
      <c r="E8" s="3167"/>
      <c r="F8" s="3167"/>
      <c r="G8" s="3167"/>
      <c r="H8" s="3167"/>
      <c r="I8" s="3167"/>
    </row>
    <row r="9" spans="1:9" ht="15">
      <c r="A9" s="3168" t="s">
        <v>927</v>
      </c>
      <c r="B9" s="3168"/>
      <c r="C9" s="3168"/>
      <c r="D9" s="3168" t="str">
        <f ca="1">结果表!D123</f>
        <v>肆仟伍佰壹拾伍万元整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2025-02-10T03:13:42Z</dcterms:modified>
</cp:coreProperties>
</file>