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询价\靛厂路2024-武哥\"/>
    </mc:Choice>
  </mc:AlternateContent>
  <xr:revisionPtr revIDLastSave="0" documentId="13_ncr:1_{8F5E4090-C784-49B2-B0DC-217B608D0388}"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Sheet1" sheetId="80" r:id="rId10"/>
    <sheet name="定义" sheetId="10" r:id="rId11"/>
    <sheet name="常用公式" sheetId="78"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基准地价修正 (2)"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办公" sheetId="82"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0">'基准地价修正 (2)'!$A$1:$J$44,'基准地价修正 (2)'!$A$47:$H$101,'基准地价修正 (2)'!$R$1:$V$16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27">收益法办公!$A$1:$F$43,收益法办公!$H$3:$M$29,收益法办公!$A$46:$F$71,收益法办公!$I$46:$N$65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Q72" i="82"/>
  <c r="Q59" i="82"/>
  <c r="K59" i="82"/>
  <c r="P74" i="82" s="1"/>
  <c r="F59" i="82"/>
  <c r="Q58" i="82"/>
  <c r="Q51" i="82"/>
  <c r="J51" i="82"/>
  <c r="J50"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AL7" i="1"/>
  <c r="AM7" i="1"/>
  <c r="AK7" i="1"/>
  <c r="Y7" i="1"/>
  <c r="U2" i="81"/>
  <c r="D33" i="81"/>
  <c r="E19" i="8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s="1"/>
  <c r="D100" i="81"/>
  <c r="B100" i="81"/>
  <c r="M99" i="81"/>
  <c r="N99" i="81" s="1"/>
  <c r="K99" i="81"/>
  <c r="J99" i="81"/>
  <c r="D99" i="81"/>
  <c r="B99" i="81"/>
  <c r="N98" i="81"/>
  <c r="M98" i="81"/>
  <c r="K98" i="81"/>
  <c r="J98" i="81" s="1"/>
  <c r="D98" i="81"/>
  <c r="N97" i="81"/>
  <c r="M97" i="81"/>
  <c r="K97" i="81"/>
  <c r="J97" i="81" s="1"/>
  <c r="H97" i="81"/>
  <c r="D97" i="81"/>
  <c r="B97" i="81"/>
  <c r="M96" i="81"/>
  <c r="N96" i="81" s="1"/>
  <c r="K96" i="81"/>
  <c r="J96" i="81"/>
  <c r="D96" i="81"/>
  <c r="M95" i="81"/>
  <c r="N95" i="81" s="1"/>
  <c r="K95" i="81"/>
  <c r="J95" i="81"/>
  <c r="D95" i="81"/>
  <c r="B95" i="81"/>
  <c r="N94" i="81"/>
  <c r="M94" i="81"/>
  <c r="K94" i="81"/>
  <c r="J94" i="81" s="1"/>
  <c r="D94" i="81"/>
  <c r="B94" i="81"/>
  <c r="M93" i="81"/>
  <c r="N93" i="81" s="1"/>
  <c r="K93" i="81"/>
  <c r="J93" i="81"/>
  <c r="F93" i="81"/>
  <c r="H94" i="81" s="1"/>
  <c r="D93" i="81"/>
  <c r="N90" i="81"/>
  <c r="M90" i="81"/>
  <c r="K90" i="81"/>
  <c r="J90" i="81" s="1"/>
  <c r="D90" i="81"/>
  <c r="B90" i="81"/>
  <c r="M89" i="81"/>
  <c r="N89" i="81" s="1"/>
  <c r="K89" i="81"/>
  <c r="J89" i="81"/>
  <c r="D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B84" i="81"/>
  <c r="N83" i="81"/>
  <c r="M83" i="81"/>
  <c r="K83" i="81"/>
  <c r="J83" i="81" s="1"/>
  <c r="F83" i="81"/>
  <c r="H88" i="81" s="1"/>
  <c r="D83" i="81"/>
  <c r="B83" i="81"/>
  <c r="N80" i="81"/>
  <c r="M80" i="81"/>
  <c r="K80" i="81"/>
  <c r="J80" i="81" s="1"/>
  <c r="D80" i="81"/>
  <c r="N79" i="81"/>
  <c r="M79" i="81"/>
  <c r="K79" i="81"/>
  <c r="J79" i="81" s="1"/>
  <c r="D79" i="81"/>
  <c r="B79" i="81"/>
  <c r="M78" i="81"/>
  <c r="N78" i="81" s="1"/>
  <c r="K78" i="81"/>
  <c r="J78" i="81"/>
  <c r="D78" i="81"/>
  <c r="M77" i="81"/>
  <c r="N77" i="81" s="1"/>
  <c r="K77" i="81"/>
  <c r="J77" i="81"/>
  <c r="D77" i="81"/>
  <c r="B77" i="81"/>
  <c r="N76" i="81"/>
  <c r="M76" i="81"/>
  <c r="K76" i="81"/>
  <c r="J76" i="81" s="1"/>
  <c r="D76" i="81"/>
  <c r="B76" i="81"/>
  <c r="M75" i="81"/>
  <c r="N75" i="81" s="1"/>
  <c r="K75" i="81"/>
  <c r="J75" i="81"/>
  <c r="D75" i="81"/>
  <c r="E72" i="81" s="1"/>
  <c r="B70" i="81" s="1"/>
  <c r="B75" i="81"/>
  <c r="N74" i="81"/>
  <c r="M74" i="81"/>
  <c r="K74" i="81"/>
  <c r="J74" i="81" s="1"/>
  <c r="D74" i="81"/>
  <c r="B74" i="81"/>
  <c r="M73" i="81"/>
  <c r="N73" i="81" s="1"/>
  <c r="K73" i="81"/>
  <c r="J73" i="81"/>
  <c r="D73" i="81"/>
  <c r="B73" i="81"/>
  <c r="N72" i="81"/>
  <c r="M72" i="81"/>
  <c r="K72" i="81"/>
  <c r="J72" i="81" s="1"/>
  <c r="H72" i="81"/>
  <c r="F72" i="81"/>
  <c r="H77" i="81" s="1"/>
  <c r="D72" i="81"/>
  <c r="B72" i="81"/>
  <c r="N69" i="81"/>
  <c r="M69" i="81"/>
  <c r="K69" i="81"/>
  <c r="J69" i="81" s="1"/>
  <c r="D69" i="81"/>
  <c r="B69" i="81"/>
  <c r="M68" i="81"/>
  <c r="N68" i="81" s="1"/>
  <c r="K68" i="81"/>
  <c r="J68" i="81"/>
  <c r="D68" i="81"/>
  <c r="B68" i="81"/>
  <c r="N67" i="81"/>
  <c r="M67" i="81"/>
  <c r="K67" i="81"/>
  <c r="J67" i="81" s="1"/>
  <c r="D67" i="81"/>
  <c r="B67" i="81"/>
  <c r="M66" i="81"/>
  <c r="N66" i="81" s="1"/>
  <c r="K66" i="81"/>
  <c r="J66" i="81"/>
  <c r="D66" i="81"/>
  <c r="M65" i="81"/>
  <c r="N65" i="81" s="1"/>
  <c r="K65" i="81"/>
  <c r="J65" i="81"/>
  <c r="D65" i="81"/>
  <c r="B65" i="81"/>
  <c r="N64" i="81"/>
  <c r="M64" i="81"/>
  <c r="K64" i="81"/>
  <c r="J64" i="81" s="1"/>
  <c r="D64" i="81"/>
  <c r="N63" i="81"/>
  <c r="M63" i="81"/>
  <c r="K63" i="81"/>
  <c r="J63" i="81" s="1"/>
  <c r="D63" i="81"/>
  <c r="B63" i="81"/>
  <c r="M62" i="81"/>
  <c r="N62" i="81" s="1"/>
  <c r="K62" i="81"/>
  <c r="J62" i="81"/>
  <c r="D62" i="81"/>
  <c r="E61" i="81" s="1"/>
  <c r="B59" i="81" s="1"/>
  <c r="C28" i="81" s="1"/>
  <c r="B62" i="81"/>
  <c r="N61" i="81"/>
  <c r="M61" i="81"/>
  <c r="K61" i="81"/>
  <c r="J61" i="81" s="1"/>
  <c r="D61" i="81"/>
  <c r="B61" i="81"/>
  <c r="N58" i="81"/>
  <c r="M58" i="81"/>
  <c r="K58" i="81"/>
  <c r="J58" i="81" s="1"/>
  <c r="D58" i="81"/>
  <c r="B58" i="81"/>
  <c r="M57" i="81"/>
  <c r="N57" i="81" s="1"/>
  <c r="K57" i="81"/>
  <c r="J57" i="81"/>
  <c r="D57" i="81"/>
  <c r="B57" i="81"/>
  <c r="N56" i="81"/>
  <c r="M56" i="81"/>
  <c r="K56" i="81"/>
  <c r="J56" i="81" s="1"/>
  <c r="D56" i="81"/>
  <c r="B56" i="81"/>
  <c r="M55" i="81"/>
  <c r="N55" i="81" s="1"/>
  <c r="K55" i="81"/>
  <c r="J55" i="81"/>
  <c r="D55" i="81"/>
  <c r="M54" i="81"/>
  <c r="N54" i="81" s="1"/>
  <c r="K54" i="81"/>
  <c r="J54" i="81"/>
  <c r="D54" i="81"/>
  <c r="B54" i="81"/>
  <c r="N53" i="81"/>
  <c r="M53" i="81"/>
  <c r="K53" i="81"/>
  <c r="J53" i="81" s="1"/>
  <c r="D53" i="81"/>
  <c r="N52" i="81"/>
  <c r="M52" i="81"/>
  <c r="K52" i="81"/>
  <c r="J52" i="81" s="1"/>
  <c r="D52" i="81"/>
  <c r="B52" i="81"/>
  <c r="M51" i="81"/>
  <c r="N51" i="81" s="1"/>
  <c r="K51" i="81"/>
  <c r="J51" i="81"/>
  <c r="D51" i="81"/>
  <c r="E50" i="81" s="1"/>
  <c r="B48" i="81" s="1"/>
  <c r="B51" i="81"/>
  <c r="N50" i="81"/>
  <c r="M50" i="81"/>
  <c r="K50" i="81"/>
  <c r="J50" i="81" s="1"/>
  <c r="D50" i="81"/>
  <c r="B50" i="81"/>
  <c r="G44" i="81"/>
  <c r="H42" i="81"/>
  <c r="H41" i="81"/>
  <c r="H40" i="81"/>
  <c r="H39" i="81"/>
  <c r="H38" i="81"/>
  <c r="H37" i="81"/>
  <c r="P32" i="81"/>
  <c r="N32" i="81"/>
  <c r="P29" i="81"/>
  <c r="P28" i="81"/>
  <c r="P26" i="81"/>
  <c r="P25" i="81"/>
  <c r="M24" i="81"/>
  <c r="J24" i="81"/>
  <c r="I24" i="81"/>
  <c r="G24" i="81"/>
  <c r="I18" i="81" s="1"/>
  <c r="E24" i="81"/>
  <c r="O32" i="81" s="1"/>
  <c r="O23" i="81"/>
  <c r="M23" i="81"/>
  <c r="I23" i="81"/>
  <c r="G23" i="81"/>
  <c r="P27" i="81" s="1"/>
  <c r="C23" i="81"/>
  <c r="C22" i="81"/>
  <c r="C20" i="81"/>
  <c r="G18" i="81"/>
  <c r="C13" i="81"/>
  <c r="AI10" i="81"/>
  <c r="AH10" i="81"/>
  <c r="AE10" i="81"/>
  <c r="AD10" i="81"/>
  <c r="AA10" i="81"/>
  <c r="Z10" i="81"/>
  <c r="Y10" i="81"/>
  <c r="C10" i="81"/>
  <c r="C11" i="81" s="1"/>
  <c r="AJ9" i="81"/>
  <c r="AJ10" i="81" s="1"/>
  <c r="AI9" i="81"/>
  <c r="AH9" i="81"/>
  <c r="AG9" i="81"/>
  <c r="AG10" i="81" s="1"/>
  <c r="AF9" i="81"/>
  <c r="AF10" i="81" s="1"/>
  <c r="AE9" i="81"/>
  <c r="AD9" i="81"/>
  <c r="AC9" i="81"/>
  <c r="AC10" i="81" s="1"/>
  <c r="AB9" i="81"/>
  <c r="AB10" i="81" s="1"/>
  <c r="AA9" i="81"/>
  <c r="Z9" i="81"/>
  <c r="C9" i="81"/>
  <c r="C7" i="81"/>
  <c r="G3" i="81"/>
  <c r="H26" i="81" s="1"/>
  <c r="I2" i="81"/>
  <c r="M12" i="81" s="1"/>
  <c r="G2" i="81"/>
  <c r="F40" i="81" s="1"/>
  <c r="D1" i="81"/>
  <c r="D40" i="43"/>
  <c r="G19" i="43"/>
  <c r="E19" i="43"/>
  <c r="M8" i="82"/>
  <c r="P61" i="82" l="1"/>
  <c r="E17" i="81"/>
  <c r="N6" i="81"/>
  <c r="N10" i="81"/>
  <c r="M11" i="81"/>
  <c r="H79" i="81"/>
  <c r="H83" i="81"/>
  <c r="H85" i="81"/>
  <c r="N12" i="81"/>
  <c r="H76" i="81"/>
  <c r="H80" i="81"/>
  <c r="H90" i="81"/>
  <c r="M8" i="81"/>
  <c r="F50" i="81"/>
  <c r="H74" i="81"/>
  <c r="H87" i="81"/>
  <c r="E11" i="81"/>
  <c r="E8" i="81"/>
  <c r="E10" i="81"/>
  <c r="E9" i="81"/>
  <c r="S4" i="81"/>
  <c r="K21" i="81"/>
  <c r="J26" i="81"/>
  <c r="F41" i="81"/>
  <c r="M3" i="81"/>
  <c r="M7" i="81"/>
  <c r="X7" i="81"/>
  <c r="E83" i="81"/>
  <c r="B81" i="81" s="1"/>
  <c r="H116" i="81"/>
  <c r="F38" i="81"/>
  <c r="F37" i="81"/>
  <c r="N21" i="81"/>
  <c r="J21" i="81"/>
  <c r="E21" i="81"/>
  <c r="F39" i="81"/>
  <c r="S2" i="81"/>
  <c r="D21" i="81"/>
  <c r="N11" i="81"/>
  <c r="G19" i="81"/>
  <c r="L21" i="81"/>
  <c r="E26" i="81"/>
  <c r="N1" i="81"/>
  <c r="M4" i="81"/>
  <c r="N7" i="81"/>
  <c r="Z7" i="81"/>
  <c r="H21" i="81"/>
  <c r="M21" i="81"/>
  <c r="F26" i="81"/>
  <c r="C27" i="81"/>
  <c r="Q32" i="81"/>
  <c r="E93" i="81"/>
  <c r="B91" i="81" s="1"/>
  <c r="M1" i="81"/>
  <c r="M5" i="81"/>
  <c r="S6" i="81"/>
  <c r="N8" i="81"/>
  <c r="M2" i="81"/>
  <c r="N3" i="81"/>
  <c r="N5" i="81"/>
  <c r="C6" i="81"/>
  <c r="M9" i="81"/>
  <c r="N2" i="81"/>
  <c r="S3" i="81"/>
  <c r="N4" i="81"/>
  <c r="F61" i="81" s="1"/>
  <c r="S5" i="81"/>
  <c r="M6" i="81"/>
  <c r="N9" i="81"/>
  <c r="M10" i="81"/>
  <c r="C21" i="81"/>
  <c r="I21" i="81"/>
  <c r="O21" i="81"/>
  <c r="C24" i="81"/>
  <c r="E44" i="81"/>
  <c r="C44" i="81" s="1"/>
  <c r="G26" i="81"/>
  <c r="M32" i="81"/>
  <c r="F42" i="81"/>
  <c r="H101" i="81"/>
  <c r="H95" i="81"/>
  <c r="H98" i="81"/>
  <c r="H99" i="81"/>
  <c r="H96" i="81"/>
  <c r="H93" i="81"/>
  <c r="H100" i="81"/>
  <c r="B116" i="81"/>
  <c r="H55" i="81"/>
  <c r="H75" i="81"/>
  <c r="H78" i="81"/>
  <c r="H86" i="81"/>
  <c r="H89" i="81"/>
  <c r="H54" i="81"/>
  <c r="H73" i="81"/>
  <c r="H84" i="81"/>
  <c r="N7" i="1"/>
  <c r="N6" i="1"/>
  <c r="L7" i="1"/>
  <c r="F20" i="6"/>
  <c r="F19" i="6"/>
  <c r="G19" i="6"/>
  <c r="M13" i="3"/>
  <c r="K13" i="3"/>
  <c r="I13" i="3"/>
  <c r="M6" i="82"/>
  <c r="L48" i="82"/>
  <c r="F37" i="82"/>
  <c r="L47" i="82"/>
  <c r="J15" i="82"/>
  <c r="M24" i="82"/>
  <c r="F43" i="82"/>
  <c r="F6" i="82"/>
  <c r="F8" i="82"/>
  <c r="M27" i="82"/>
  <c r="F42" i="82"/>
  <c r="F38" i="82"/>
  <c r="M23" i="82"/>
  <c r="F36" i="82"/>
  <c r="F7" i="82"/>
  <c r="F13" i="82"/>
  <c r="M29" i="82"/>
  <c r="M22" i="82"/>
  <c r="F9" i="82"/>
  <c r="F26" i="82"/>
  <c r="F16" i="82"/>
  <c r="M9" i="82"/>
  <c r="C76" i="82"/>
  <c r="F40" i="82"/>
  <c r="M28" i="82"/>
  <c r="M26" i="82"/>
  <c r="F71" i="82" l="1"/>
  <c r="C6" i="82"/>
  <c r="F68" i="82"/>
  <c r="M7" i="82"/>
  <c r="J6" i="82" s="1"/>
  <c r="F50" i="82"/>
  <c r="Q71" i="82"/>
  <c r="F64" i="82"/>
  <c r="N59" i="82"/>
  <c r="L58" i="82"/>
  <c r="L59" i="82"/>
  <c r="M59" i="82"/>
  <c r="F65" i="82"/>
  <c r="F51" i="82"/>
  <c r="C49" i="82" s="1"/>
  <c r="F66" i="82"/>
  <c r="L57" i="82"/>
  <c r="L56" i="82"/>
  <c r="I54" i="82"/>
  <c r="L60" i="82"/>
  <c r="J53" i="82"/>
  <c r="J57" i="82"/>
  <c r="J55" i="82" s="1"/>
  <c r="J58" i="82" s="1"/>
  <c r="Q50" i="82" s="1"/>
  <c r="C27" i="82"/>
  <c r="H57" i="81"/>
  <c r="H56" i="81"/>
  <c r="H52" i="81"/>
  <c r="H58" i="81"/>
  <c r="H53" i="81"/>
  <c r="H50" i="81"/>
  <c r="H51" i="81"/>
  <c r="H68" i="81"/>
  <c r="H65" i="81"/>
  <c r="H62" i="81"/>
  <c r="H69" i="81"/>
  <c r="H66" i="81"/>
  <c r="H67" i="81"/>
  <c r="H63" i="81"/>
  <c r="H64" i="81"/>
  <c r="H61" i="81"/>
  <c r="G21" i="81"/>
  <c r="D26" i="81"/>
  <c r="C25" i="81" s="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19" i="81"/>
  <c r="C119" i="81" s="1"/>
  <c r="B121" i="81"/>
  <c r="C121" i="81" s="1"/>
  <c r="B122" i="81"/>
  <c r="C122" i="81" s="1"/>
  <c r="B118" i="81"/>
  <c r="C118" i="81" s="1"/>
  <c r="G17" i="81"/>
  <c r="C17" i="81" s="1"/>
  <c r="D116" i="81"/>
  <c r="Y6" i="1"/>
  <c r="B21" i="1"/>
  <c r="C17" i="82"/>
  <c r="F1" i="82" l="1"/>
  <c r="Q52" i="82"/>
  <c r="Q61" i="82"/>
  <c r="Q74" i="82"/>
  <c r="C33" i="82"/>
  <c r="C32" i="82"/>
  <c r="J18" i="82"/>
  <c r="J19" i="82"/>
  <c r="C61" i="82"/>
  <c r="Q60" i="82"/>
  <c r="Q73" i="82"/>
  <c r="Q66" i="82"/>
  <c r="Q57" i="82"/>
  <c r="D5" i="81"/>
  <c r="C38" i="81" s="1"/>
  <c r="C5" i="81"/>
  <c r="C33" i="81" s="1"/>
  <c r="C39" i="81"/>
  <c r="C40" i="81"/>
  <c r="C37" i="81"/>
  <c r="C42" i="81"/>
  <c r="G14" i="73"/>
  <c r="F14" i="73"/>
  <c r="E14" i="73"/>
  <c r="G15" i="73"/>
  <c r="F15" i="73"/>
  <c r="E15" i="73"/>
  <c r="C41" i="81" l="1"/>
  <c r="T4" i="81"/>
  <c r="V4" i="81" s="1"/>
  <c r="T9" i="81"/>
  <c r="V9" i="81" s="1"/>
  <c r="T16" i="81"/>
  <c r="V16" i="81" s="1"/>
  <c r="T15" i="81"/>
  <c r="V15" i="81" s="1"/>
  <c r="T14" i="81"/>
  <c r="V14" i="81" s="1"/>
  <c r="T10" i="81"/>
  <c r="V10" i="81" s="1"/>
  <c r="T2" i="81"/>
  <c r="V2" i="81" s="1"/>
  <c r="T7" i="81"/>
  <c r="V7" i="81" s="1"/>
  <c r="T3" i="81"/>
  <c r="V3" i="81" s="1"/>
  <c r="T12" i="81"/>
  <c r="V12" i="81" s="1"/>
  <c r="T6" i="81"/>
  <c r="V6" i="81" s="1"/>
  <c r="T13" i="81"/>
  <c r="V13" i="81" s="1"/>
  <c r="T5" i="81"/>
  <c r="V5" i="81" s="1"/>
  <c r="T8" i="81"/>
  <c r="V8" i="81" s="1"/>
  <c r="T11" i="81"/>
  <c r="V11" i="81" s="1"/>
  <c r="E33" i="81"/>
  <c r="G38" i="81"/>
  <c r="I38" i="81" s="1"/>
  <c r="E38" i="81"/>
  <c r="E42" i="81"/>
  <c r="G42" i="81"/>
  <c r="I42" i="81" s="1"/>
  <c r="G41" i="81"/>
  <c r="I41" i="81" s="1"/>
  <c r="E41" i="81"/>
  <c r="E40" i="81"/>
  <c r="G40" i="81"/>
  <c r="I40" i="81" s="1"/>
  <c r="G37" i="81"/>
  <c r="I37" i="81" s="1"/>
  <c r="E37" i="81"/>
  <c r="G39" i="81"/>
  <c r="I39" i="81" s="1"/>
  <c r="E39" i="81"/>
  <c r="AB28" i="79"/>
  <c r="AA28" i="79"/>
  <c r="Z28" i="79"/>
  <c r="N28" i="79"/>
  <c r="M28" i="79"/>
  <c r="P28" i="79" s="1"/>
  <c r="L28" i="79"/>
  <c r="I28" i="79"/>
  <c r="AD28" i="79" s="1"/>
  <c r="AC5" i="79"/>
  <c r="AB5" i="79"/>
  <c r="AA5" i="79"/>
  <c r="AD5" i="79" s="1"/>
  <c r="Z5" i="79"/>
  <c r="Y5" i="79"/>
  <c r="O5" i="79"/>
  <c r="N5" i="79"/>
  <c r="M5" i="79"/>
  <c r="P5" i="79" s="1"/>
  <c r="L5" i="79"/>
  <c r="K5" i="79"/>
  <c r="I5" i="79"/>
  <c r="C34" i="81" l="1"/>
  <c r="E34" i="81" s="1"/>
  <c r="C31" i="81" s="1"/>
  <c r="C30" i="81"/>
  <c r="B2" i="81" s="1"/>
  <c r="I8" i="79"/>
  <c r="B3" i="81"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R17" i="79"/>
  <c r="V17"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G15" i="3" s="1"/>
  <c r="AC15" i="3"/>
  <c r="H16" i="3"/>
  <c r="AC16" i="3"/>
  <c r="H17" i="3"/>
  <c r="G17" i="3" s="1"/>
  <c r="AC17" i="3"/>
  <c r="AT5" i="3"/>
  <c r="I5" i="3"/>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A498" i="3" s="1"/>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H5" i="3" s="1"/>
  <c r="BI556" i="3"/>
  <c r="BJ556" i="3"/>
  <c r="BK556" i="3"/>
  <c r="BM556" i="3"/>
  <c r="BL556" i="3" s="1"/>
  <c r="BN556" i="3"/>
  <c r="BO556" i="3"/>
  <c r="BP556" i="3"/>
  <c r="BQ556" i="3"/>
  <c r="BR556" i="3"/>
  <c r="BS556" i="3"/>
  <c r="BT556" i="3"/>
  <c r="H557" i="3"/>
  <c r="BB557" i="3"/>
  <c r="BC557" i="3"/>
  <c r="BD557" i="3"/>
  <c r="BE557" i="3"/>
  <c r="BE5" i="3" s="1"/>
  <c r="BF557" i="3"/>
  <c r="BG557" i="3"/>
  <c r="BH557" i="3"/>
  <c r="BI557" i="3"/>
  <c r="BI5" i="3" s="1"/>
  <c r="BJ557" i="3"/>
  <c r="BK557" i="3"/>
  <c r="BM557" i="3"/>
  <c r="BN557" i="3"/>
  <c r="BN5" i="3" s="1"/>
  <c r="BO557" i="3"/>
  <c r="BP557" i="3"/>
  <c r="BR557" i="3"/>
  <c r="BS557" i="3"/>
  <c r="BS5" i="3" s="1"/>
  <c r="BT557" i="3"/>
  <c r="H558" i="3"/>
  <c r="G558" i="3" s="1"/>
  <c r="AC558" i="3"/>
  <c r="BB558" i="3"/>
  <c r="BA558" i="3" s="1"/>
  <c r="BC558" i="3"/>
  <c r="BD558" i="3"/>
  <c r="BE558" i="3"/>
  <c r="BF558" i="3"/>
  <c r="BF5" i="3" s="1"/>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BT5" i="3" s="1"/>
  <c r="H560" i="3"/>
  <c r="AC560" i="3"/>
  <c r="BB560" i="3"/>
  <c r="BC560" i="3"/>
  <c r="BD560" i="3"/>
  <c r="BE560" i="3"/>
  <c r="BF560" i="3"/>
  <c r="BG560" i="3"/>
  <c r="BG5" i="3" s="1"/>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L563" i="3" s="1"/>
  <c r="BN563" i="3"/>
  <c r="BO563" i="3"/>
  <c r="BP563" i="3"/>
  <c r="BR563" i="3"/>
  <c r="BR5" i="3" s="1"/>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F30" i="37"/>
  <c r="AA30" i="37" s="1"/>
  <c r="Q29" i="37"/>
  <c r="Z29" i="37" s="1"/>
  <c r="H29" i="37"/>
  <c r="AB29" i="37" s="1"/>
  <c r="Q28" i="37"/>
  <c r="Z28" i="37"/>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s="1"/>
  <c r="B73" i="35"/>
  <c r="J23" i="35" s="1"/>
  <c r="H23" i="35"/>
  <c r="U23" i="35" s="1"/>
  <c r="B57" i="35"/>
  <c r="B61" i="35"/>
  <c r="B59" i="35"/>
  <c r="B131" i="34"/>
  <c r="H47" i="34" s="1"/>
  <c r="U47" i="34" s="1"/>
  <c r="B129" i="34"/>
  <c r="B127" i="34"/>
  <c r="B99" i="34"/>
  <c r="B97" i="34"/>
  <c r="H31" i="34" s="1"/>
  <c r="B95" i="34"/>
  <c r="B93" i="34"/>
  <c r="B75" i="34"/>
  <c r="B73" i="34"/>
  <c r="J13" i="34" s="1"/>
  <c r="W13" i="34" s="1"/>
  <c r="B71" i="34"/>
  <c r="J12" i="34" s="1"/>
  <c r="W12" i="34" s="1"/>
  <c r="B130" i="33"/>
  <c r="B128" i="33"/>
  <c r="B126" i="33"/>
  <c r="F44" i="33" s="1"/>
  <c r="B98" i="33"/>
  <c r="F31" i="33" s="1"/>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J44" i="21" s="1"/>
  <c r="B98" i="21"/>
  <c r="H31" i="21"/>
  <c r="B96" i="21"/>
  <c r="J30" i="21" s="1"/>
  <c r="B94" i="21"/>
  <c r="B92" i="21"/>
  <c r="J28" i="21" s="1"/>
  <c r="W28" i="21" s="1"/>
  <c r="B90" i="21"/>
  <c r="B74" i="2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s="1"/>
  <c r="U9" i="39"/>
  <c r="W40" i="39"/>
  <c r="W25" i="37"/>
  <c r="E103" i="37"/>
  <c r="F103" i="37"/>
  <c r="G103" i="37" s="1"/>
  <c r="H103" i="37" s="1"/>
  <c r="I103" i="37" s="1"/>
  <c r="J103" i="37" s="1"/>
  <c r="K103" i="37" s="1"/>
  <c r="L103" i="37" s="1"/>
  <c r="M103" i="37" s="1"/>
  <c r="F29" i="36"/>
  <c r="AA29" i="36" s="1"/>
  <c r="F16" i="36"/>
  <c r="AA16" i="36" s="1"/>
  <c r="J33" i="36"/>
  <c r="AC33" i="36" s="1"/>
  <c r="H22" i="35"/>
  <c r="AB22" i="35" s="1"/>
  <c r="W28" i="35"/>
  <c r="U31" i="35"/>
  <c r="F36" i="34"/>
  <c r="J35" i="34"/>
  <c r="U34" i="34"/>
  <c r="H39" i="33"/>
  <c r="AB39" i="33" s="1"/>
  <c r="U33" i="33"/>
  <c r="W33" i="33"/>
  <c r="W39" i="33"/>
  <c r="H39" i="37"/>
  <c r="AB39" i="37" s="1"/>
  <c r="S27" i="35"/>
  <c r="F11" i="40"/>
  <c r="AA11" i="40"/>
  <c r="H11" i="40"/>
  <c r="AB11" i="40"/>
  <c r="W8" i="40"/>
  <c r="AB39" i="40"/>
  <c r="U9" i="40"/>
  <c r="S34" i="40"/>
  <c r="U34" i="40"/>
  <c r="F42" i="39"/>
  <c r="AA42" i="39" s="1"/>
  <c r="F41" i="39"/>
  <c r="S41" i="39" s="1"/>
  <c r="H40" i="39"/>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s="1"/>
  <c r="F27" i="39"/>
  <c r="AA27" i="39" s="1"/>
  <c r="F11" i="21"/>
  <c r="S11" i="21" s="1"/>
  <c r="U34" i="21"/>
  <c r="C25" i="39"/>
  <c r="H11" i="39"/>
  <c r="AB11" i="39" s="1"/>
  <c r="S40" i="39"/>
  <c r="H32" i="33"/>
  <c r="AB32" i="33"/>
  <c r="H11" i="21"/>
  <c r="U11" i="21" s="1"/>
  <c r="J11" i="21"/>
  <c r="W11" i="21" s="1"/>
  <c r="H37" i="40"/>
  <c r="U37" i="40"/>
  <c r="H36" i="40"/>
  <c r="AB36" i="40" s="1"/>
  <c r="F35" i="40"/>
  <c r="AA35" i="40"/>
  <c r="H23" i="40"/>
  <c r="AB23" i="40" s="1"/>
  <c r="H17" i="40"/>
  <c r="U17" i="40" s="1"/>
  <c r="J15" i="40"/>
  <c r="W15" i="40" s="1"/>
  <c r="J11" i="40"/>
  <c r="W11" i="40"/>
  <c r="AC12" i="34"/>
  <c r="W32" i="40"/>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AA24" i="36"/>
  <c r="F14" i="35"/>
  <c r="AA14" i="35" s="1"/>
  <c r="F23" i="35"/>
  <c r="AA23" i="35" s="1"/>
  <c r="J32" i="35"/>
  <c r="AC32" i="35" s="1"/>
  <c r="J16" i="35"/>
  <c r="AC16" i="35" s="1"/>
  <c r="H16" i="35"/>
  <c r="U16" i="35"/>
  <c r="F16" i="35"/>
  <c r="S16" i="35" s="1"/>
  <c r="H14" i="35"/>
  <c r="AB14" i="35" s="1"/>
  <c r="J29" i="35"/>
  <c r="AC29" i="35" s="1"/>
  <c r="H33" i="35"/>
  <c r="J20" i="35"/>
  <c r="W20" i="35" s="1"/>
  <c r="F35" i="37"/>
  <c r="S35" i="37" s="1"/>
  <c r="F101" i="37"/>
  <c r="G101" i="37" s="1"/>
  <c r="H101" i="37" s="1"/>
  <c r="I101" i="37" s="1"/>
  <c r="J101" i="37" s="1"/>
  <c r="K101" i="37" s="1"/>
  <c r="L101" i="37" s="1"/>
  <c r="M101" i="37" s="1"/>
  <c r="J34" i="37"/>
  <c r="W34" i="37"/>
  <c r="AB34" i="37"/>
  <c r="J33" i="37"/>
  <c r="AC33" i="37" s="1"/>
  <c r="H40" i="34"/>
  <c r="U40"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AA41" i="33"/>
  <c r="S38"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J43" i="34"/>
  <c r="AB42" i="34"/>
  <c r="J40" i="34"/>
  <c r="H38" i="34"/>
  <c r="AB38" i="34" s="1"/>
  <c r="J36" i="34"/>
  <c r="AC36" i="34" s="1"/>
  <c r="W36" i="34"/>
  <c r="H37" i="34"/>
  <c r="U37" i="34" s="1"/>
  <c r="H25" i="34"/>
  <c r="AB25" i="34" s="1"/>
  <c r="J25" i="34"/>
  <c r="AC25" i="34"/>
  <c r="F23" i="34"/>
  <c r="AA23" i="34"/>
  <c r="J19" i="34"/>
  <c r="AC19" i="34" s="1"/>
  <c r="F17" i="34"/>
  <c r="AA17" i="34" s="1"/>
  <c r="J17" i="34"/>
  <c r="W17" i="34" s="1"/>
  <c r="AB17" i="34"/>
  <c r="S41"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H28" i="21"/>
  <c r="AB28" i="21" s="1"/>
  <c r="F28" i="21"/>
  <c r="AA28" i="21" s="1"/>
  <c r="H30" i="21"/>
  <c r="U30" i="21"/>
  <c r="F30" i="21"/>
  <c r="S30" i="21" s="1"/>
  <c r="AC30" i="2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G89" i="35"/>
  <c r="H89" i="35"/>
  <c r="I89" i="35" s="1"/>
  <c r="J89" i="35" s="1"/>
  <c r="K89" i="35" s="1"/>
  <c r="L89" i="35" s="1"/>
  <c r="M89" i="35" s="1"/>
  <c r="H10" i="36"/>
  <c r="AB10" i="36" s="1"/>
  <c r="J14" i="36"/>
  <c r="AC14" i="36"/>
  <c r="H14" i="36"/>
  <c r="U14" i="36" s="1"/>
  <c r="F28" i="36"/>
  <c r="AA28" i="36" s="1"/>
  <c r="J13" i="21"/>
  <c r="AC13" i="21" s="1"/>
  <c r="H27" i="21"/>
  <c r="AB27" i="21"/>
  <c r="J31" i="21"/>
  <c r="AC31" i="21" s="1"/>
  <c r="F31" i="21"/>
  <c r="S31" i="21"/>
  <c r="F45" i="21"/>
  <c r="AA45" i="21" s="1"/>
  <c r="F27" i="33"/>
  <c r="AA27" i="33" s="1"/>
  <c r="J13" i="33"/>
  <c r="H13" i="33"/>
  <c r="U13" i="33" s="1"/>
  <c r="F13" i="33"/>
  <c r="S13" i="33" s="1"/>
  <c r="J29" i="33"/>
  <c r="H29" i="33"/>
  <c r="U29" i="33" s="1"/>
  <c r="J31" i="33"/>
  <c r="W31" i="33"/>
  <c r="H31" i="33"/>
  <c r="J45" i="33"/>
  <c r="H14" i="34"/>
  <c r="AB14" i="34" s="1"/>
  <c r="H30" i="34"/>
  <c r="F30" i="34"/>
  <c r="S30" i="34" s="1"/>
  <c r="J30" i="34"/>
  <c r="H32" i="34"/>
  <c r="U32" i="34" s="1"/>
  <c r="H46" i="34"/>
  <c r="AB46" i="34" s="1"/>
  <c r="F46" i="34"/>
  <c r="J46" i="34"/>
  <c r="H11" i="35"/>
  <c r="AB11" i="35" s="1"/>
  <c r="J11" i="35"/>
  <c r="F11" i="35"/>
  <c r="S11" i="35" s="1"/>
  <c r="J26" i="36"/>
  <c r="W26" i="36" s="1"/>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H30" i="33"/>
  <c r="AB30" i="33"/>
  <c r="F30" i="33"/>
  <c r="J30" i="33"/>
  <c r="H44" i="33"/>
  <c r="J44" i="33"/>
  <c r="J46" i="33"/>
  <c r="AC46" i="33" s="1"/>
  <c r="F46" i="33"/>
  <c r="AA46" i="33" s="1"/>
  <c r="H46" i="33"/>
  <c r="AB46" i="33"/>
  <c r="H13" i="34"/>
  <c r="U13" i="34" s="1"/>
  <c r="F13" i="34"/>
  <c r="AA13" i="34" s="1"/>
  <c r="J29" i="34"/>
  <c r="W29" i="34" s="1"/>
  <c r="F29" i="34"/>
  <c r="S29" i="34" s="1"/>
  <c r="H29" i="34"/>
  <c r="AB29" i="34" s="1"/>
  <c r="J31" i="34"/>
  <c r="AC31" i="34" s="1"/>
  <c r="F31" i="34"/>
  <c r="S31" i="34" s="1"/>
  <c r="H45" i="34"/>
  <c r="U45" i="34" s="1"/>
  <c r="J45" i="34"/>
  <c r="W45" i="34"/>
  <c r="F45" i="34"/>
  <c r="S45" i="34" s="1"/>
  <c r="F47" i="34"/>
  <c r="S47" i="34" s="1"/>
  <c r="J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s="1"/>
  <c r="J14" i="39"/>
  <c r="AC14" i="39" s="1"/>
  <c r="F14" i="39"/>
  <c r="H14" i="39"/>
  <c r="AB14" i="39" s="1"/>
  <c r="F12" i="40"/>
  <c r="S12" i="40" s="1"/>
  <c r="H12" i="40"/>
  <c r="AB12" i="40" s="1"/>
  <c r="H30" i="40"/>
  <c r="AB30" i="40" s="1"/>
  <c r="F33" i="40"/>
  <c r="AA33" i="40" s="1"/>
  <c r="H33" i="40"/>
  <c r="AB33" i="40" s="1"/>
  <c r="U33" i="40"/>
  <c r="J35" i="40"/>
  <c r="AC35" i="40" s="1"/>
  <c r="J37" i="40"/>
  <c r="AC37" i="40"/>
  <c r="H13" i="40"/>
  <c r="U13" i="40" s="1"/>
  <c r="J13" i="40"/>
  <c r="AC13" i="40" s="1"/>
  <c r="F13" i="40"/>
  <c r="AA13" i="40" s="1"/>
  <c r="F14" i="37"/>
  <c r="AA14" i="37" s="1"/>
  <c r="F13" i="39"/>
  <c r="J13" i="39"/>
  <c r="W13" i="39" s="1"/>
  <c r="H13" i="39"/>
  <c r="J14" i="40"/>
  <c r="W14" i="40" s="1"/>
  <c r="J14" i="37"/>
  <c r="J27" i="37"/>
  <c r="AC27" i="37" s="1"/>
  <c r="U46" i="33"/>
  <c r="AA14" i="33"/>
  <c r="J36" i="37"/>
  <c r="AC36" i="37" s="1"/>
  <c r="J10" i="36"/>
  <c r="AC10" i="36" s="1"/>
  <c r="AB30" i="21"/>
  <c r="W31" i="34"/>
  <c r="S11" i="36"/>
  <c r="AC28" i="21"/>
  <c r="BA586" i="3"/>
  <c r="AZ586" i="3" s="1"/>
  <c r="BA585" i="3"/>
  <c r="F17" i="21"/>
  <c r="AA17" i="21" s="1"/>
  <c r="H17" i="21"/>
  <c r="AB17" i="21" s="1"/>
  <c r="F15" i="21"/>
  <c r="S15" i="21" s="1"/>
  <c r="J41" i="39"/>
  <c r="W41" i="39" s="1"/>
  <c r="U36" i="39"/>
  <c r="S35" i="39"/>
  <c r="G544" i="3"/>
  <c r="G536" i="3"/>
  <c r="G535" i="3"/>
  <c r="G532" i="3"/>
  <c r="G531" i="3"/>
  <c r="G528" i="3"/>
  <c r="G527" i="3"/>
  <c r="G523" i="3"/>
  <c r="G514" i="3"/>
  <c r="G510" i="3"/>
  <c r="G508" i="3"/>
  <c r="G500" i="3"/>
  <c r="G496" i="3"/>
  <c r="G584" i="3"/>
  <c r="G580" i="3"/>
  <c r="G572" i="3"/>
  <c r="G568" i="3"/>
  <c r="G560" i="3"/>
  <c r="G554" i="3"/>
  <c r="G550" i="3"/>
  <c r="BL576" i="3"/>
  <c r="BL572" i="3"/>
  <c r="BL554" i="3"/>
  <c r="BL538" i="3"/>
  <c r="BL534" i="3"/>
  <c r="BL522" i="3"/>
  <c r="BL516" i="3"/>
  <c r="BL502" i="3"/>
  <c r="AZ502" i="3" s="1"/>
  <c r="BL498" i="3"/>
  <c r="BL578" i="3"/>
  <c r="BL574" i="3"/>
  <c r="BL562" i="3"/>
  <c r="BL540" i="3"/>
  <c r="BL536" i="3"/>
  <c r="G529" i="3"/>
  <c r="BL528" i="3"/>
  <c r="BL518" i="3"/>
  <c r="BL514" i="3"/>
  <c r="BL500" i="3"/>
  <c r="AZ500" i="3" s="1"/>
  <c r="BL496" i="3"/>
  <c r="G493" i="3"/>
  <c r="BA582" i="3"/>
  <c r="BA580" i="3"/>
  <c r="BA574" i="3"/>
  <c r="BA572" i="3"/>
  <c r="BA564" i="3"/>
  <c r="BA554" i="3"/>
  <c r="AZ554" i="3"/>
  <c r="BA548" i="3"/>
  <c r="BA546" i="3"/>
  <c r="BA542" i="3"/>
  <c r="BA536" i="3"/>
  <c r="BA532" i="3"/>
  <c r="BA528" i="3"/>
  <c r="AZ528" i="3" s="1"/>
  <c r="BA526" i="3"/>
  <c r="BA520" i="3"/>
  <c r="BA518" i="3"/>
  <c r="AZ518" i="3" s="1"/>
  <c r="BA512" i="3"/>
  <c r="AZ512" i="3" s="1"/>
  <c r="BA508" i="3"/>
  <c r="AZ508" i="3" s="1"/>
  <c r="BA506" i="3"/>
  <c r="AZ506" i="3" s="1"/>
  <c r="BA502" i="3"/>
  <c r="BA500" i="3"/>
  <c r="BA496" i="3"/>
  <c r="BA494" i="3"/>
  <c r="AZ494" i="3" s="1"/>
  <c r="BA583" i="3"/>
  <c r="BA581" i="3"/>
  <c r="BA575" i="3"/>
  <c r="BA573" i="3"/>
  <c r="BA555" i="3"/>
  <c r="BA547" i="3"/>
  <c r="BA545" i="3"/>
  <c r="BA539" i="3"/>
  <c r="BA537" i="3"/>
  <c r="BA531" i="3"/>
  <c r="BA529" i="3"/>
  <c r="BA523" i="3"/>
  <c r="BA519" i="3"/>
  <c r="BA513" i="3"/>
  <c r="BA511" i="3"/>
  <c r="BA503" i="3"/>
  <c r="BA501" i="3"/>
  <c r="BA495" i="3"/>
  <c r="BA493" i="3"/>
  <c r="G583" i="3"/>
  <c r="G581" i="3"/>
  <c r="G579" i="3"/>
  <c r="G573" i="3"/>
  <c r="G571" i="3"/>
  <c r="G569" i="3"/>
  <c r="G561" i="3"/>
  <c r="BA557" i="3"/>
  <c r="AC557" i="3"/>
  <c r="BQ557" i="3"/>
  <c r="BQ583" i="3"/>
  <c r="BQ581" i="3"/>
  <c r="BL581" i="3" s="1"/>
  <c r="BQ579" i="3"/>
  <c r="BQ577" i="3"/>
  <c r="BL577" i="3" s="1"/>
  <c r="BQ575" i="3"/>
  <c r="BQ573" i="3"/>
  <c r="BQ571" i="3"/>
  <c r="BL571" i="3"/>
  <c r="BQ569" i="3"/>
  <c r="BQ567" i="3"/>
  <c r="BQ565" i="3"/>
  <c r="BQ563" i="3"/>
  <c r="BQ561" i="3"/>
  <c r="BQ559" i="3"/>
  <c r="G559" i="3"/>
  <c r="G555" i="3"/>
  <c r="G549" i="3"/>
  <c r="G547" i="3"/>
  <c r="G545" i="3"/>
  <c r="G541" i="3"/>
  <c r="G539" i="3"/>
  <c r="G537" i="3"/>
  <c r="BQ555" i="3"/>
  <c r="BL555" i="3"/>
  <c r="BQ553" i="3"/>
  <c r="BL553" i="3" s="1"/>
  <c r="BQ551" i="3"/>
  <c r="BL551" i="3"/>
  <c r="BQ549" i="3"/>
  <c r="BQ547" i="3"/>
  <c r="BQ545" i="3"/>
  <c r="BL545" i="3"/>
  <c r="BQ543" i="3"/>
  <c r="BL543" i="3" s="1"/>
  <c r="BQ541" i="3"/>
  <c r="BL541" i="3"/>
  <c r="BQ539" i="3"/>
  <c r="BL539" i="3" s="1"/>
  <c r="BQ537" i="3"/>
  <c r="BQ535" i="3"/>
  <c r="BL535" i="3" s="1"/>
  <c r="BQ533" i="3"/>
  <c r="BQ531" i="3"/>
  <c r="BQ529" i="3"/>
  <c r="BL529" i="3"/>
  <c r="BQ527" i="3"/>
  <c r="BQ525" i="3"/>
  <c r="BL525" i="3" s="1"/>
  <c r="BQ523" i="3"/>
  <c r="AC521" i="3"/>
  <c r="G521" i="3" s="1"/>
  <c r="BQ521" i="3"/>
  <c r="BL520" i="3"/>
  <c r="AZ520" i="3"/>
  <c r="G517" i="3"/>
  <c r="G515" i="3"/>
  <c r="G513" i="3"/>
  <c r="BQ519" i="3"/>
  <c r="BQ517" i="3"/>
  <c r="BL517" i="3" s="1"/>
  <c r="BQ515" i="3"/>
  <c r="BQ513" i="3"/>
  <c r="BL513" i="3"/>
  <c r="BQ511" i="3"/>
  <c r="BL511" i="3" s="1"/>
  <c r="AZ511" i="3" s="1"/>
  <c r="AC509" i="3"/>
  <c r="BQ509" i="3"/>
  <c r="BL509" i="3" s="1"/>
  <c r="AZ509" i="3" s="1"/>
  <c r="G507" i="3"/>
  <c r="G505" i="3"/>
  <c r="G503" i="3"/>
  <c r="G501" i="3"/>
  <c r="G499" i="3"/>
  <c r="G497" i="3"/>
  <c r="G495" i="3"/>
  <c r="BQ507" i="3"/>
  <c r="BQ505" i="3"/>
  <c r="BL505" i="3"/>
  <c r="AZ505" i="3" s="1"/>
  <c r="BQ503" i="3"/>
  <c r="BQ501" i="3"/>
  <c r="BL501" i="3" s="1"/>
  <c r="BQ499" i="3"/>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c r="F32" i="40"/>
  <c r="S32" i="40" s="1"/>
  <c r="H32" i="40"/>
  <c r="AB32" i="40" s="1"/>
  <c r="J36" i="40"/>
  <c r="W36" i="40"/>
  <c r="H19" i="37"/>
  <c r="AB19" i="37" s="1"/>
  <c r="H42" i="33"/>
  <c r="AB42" i="33" s="1"/>
  <c r="J43" i="33"/>
  <c r="AC43" i="33" s="1"/>
  <c r="S28" i="31"/>
  <c r="S27" i="31"/>
  <c r="S26" i="31"/>
  <c r="U39" i="37"/>
  <c r="U26" i="37"/>
  <c r="AA13" i="33"/>
  <c r="AC31" i="33"/>
  <c r="U11" i="33"/>
  <c r="U19" i="21"/>
  <c r="AB38" i="21"/>
  <c r="F43" i="33"/>
  <c r="AA43" i="33"/>
  <c r="W15" i="34"/>
  <c r="AC15" i="34"/>
  <c r="W16" i="35"/>
  <c r="W40" i="37"/>
  <c r="H37" i="21"/>
  <c r="U37" i="21" s="1"/>
  <c r="S42" i="21"/>
  <c r="H19" i="34"/>
  <c r="AB19" i="34" s="1"/>
  <c r="F36" i="35"/>
  <c r="S36" i="35" s="1"/>
  <c r="J9" i="37"/>
  <c r="W9" i="37"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AA25" i="21"/>
  <c r="H19" i="40"/>
  <c r="U19" i="40" s="1"/>
  <c r="F88" i="40"/>
  <c r="G88" i="40" s="1"/>
  <c r="F19" i="40"/>
  <c r="S19" i="40" s="1"/>
  <c r="W23" i="39"/>
  <c r="U45" i="39"/>
  <c r="AB45" i="39"/>
  <c r="G100" i="39"/>
  <c r="H37" i="39"/>
  <c r="AB37" i="39" s="1"/>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79" i="3"/>
  <c r="AZ168" i="3"/>
  <c r="AZ120" i="3"/>
  <c r="G534" i="3"/>
  <c r="G530" i="3"/>
  <c r="G522" i="3"/>
  <c r="G516" i="3"/>
  <c r="G512" i="3"/>
  <c r="G506" i="3"/>
  <c r="G498" i="3"/>
  <c r="G494"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335" i="3"/>
  <c r="G342" i="3"/>
  <c r="BL345" i="3"/>
  <c r="G346" i="3"/>
  <c r="BL349" i="3"/>
  <c r="BL352" i="3"/>
  <c r="G353" i="3"/>
  <c r="BA357" i="3"/>
  <c r="BL358" i="3"/>
  <c r="G359" i="3"/>
  <c r="BA361" i="3"/>
  <c r="AZ361" i="3"/>
  <c r="BL362" i="3"/>
  <c r="AZ362" i="3" s="1"/>
  <c r="G363" i="3"/>
  <c r="BA365" i="3"/>
  <c r="AZ365" i="3"/>
  <c r="BL366" i="3"/>
  <c r="AZ366" i="3" s="1"/>
  <c r="G367" i="3"/>
  <c r="BA369" i="3"/>
  <c r="BL370" i="3"/>
  <c r="G371" i="3"/>
  <c r="BA373" i="3"/>
  <c r="AZ373" i="3"/>
  <c r="BL374" i="3"/>
  <c r="AZ374" i="3" s="1"/>
  <c r="G375" i="3"/>
  <c r="BA377" i="3"/>
  <c r="AZ377" i="3"/>
  <c r="AZ241" i="3"/>
  <c r="AZ269" i="3"/>
  <c r="BA379" i="3"/>
  <c r="BL380" i="3"/>
  <c r="AZ380" i="3" s="1"/>
  <c r="G381" i="3"/>
  <c r="BA383" i="3"/>
  <c r="AZ383" i="3" s="1"/>
  <c r="BL384" i="3"/>
  <c r="G385" i="3"/>
  <c r="BA387" i="3"/>
  <c r="AZ387" i="3" s="1"/>
  <c r="BL388" i="3"/>
  <c r="G389" i="3"/>
  <c r="BA391" i="3"/>
  <c r="AZ391" i="3" s="1"/>
  <c r="BL392" i="3"/>
  <c r="AZ392" i="3" s="1"/>
  <c r="G393" i="3"/>
  <c r="BJ5" i="3"/>
  <c r="AZ325" i="3"/>
  <c r="AZ341" i="3"/>
  <c r="AZ496" i="3"/>
  <c r="G548" i="3"/>
  <c r="G538" i="3"/>
  <c r="G520" i="3"/>
  <c r="G502" i="3"/>
  <c r="BK5" i="3"/>
  <c r="AZ350" i="3"/>
  <c r="BA15" i="3"/>
  <c r="AZ499" i="3"/>
  <c r="G509" i="3"/>
  <c r="BL493" i="3"/>
  <c r="AZ493" i="3" s="1"/>
  <c r="F83" i="43"/>
  <c r="H85" i="43" s="1"/>
  <c r="F50" i="43"/>
  <c r="H54" i="43" s="1"/>
  <c r="F72" i="43"/>
  <c r="H75" i="43" s="1"/>
  <c r="U17" i="39"/>
  <c r="S14" i="35"/>
  <c r="U43" i="21"/>
  <c r="U35" i="21"/>
  <c r="AC35" i="21"/>
  <c r="G10" i="1"/>
  <c r="AC11" i="39"/>
  <c r="W37" i="37"/>
  <c r="W44" i="34"/>
  <c r="AC44" i="34"/>
  <c r="S15"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H20" i="35"/>
  <c r="U20" i="35"/>
  <c r="F20" i="35"/>
  <c r="AA20" i="35" s="1"/>
  <c r="AB23" i="35"/>
  <c r="AB29" i="36"/>
  <c r="U29" i="36"/>
  <c r="H32" i="37"/>
  <c r="AB32" i="37" s="1"/>
  <c r="F96" i="37"/>
  <c r="H27" i="40"/>
  <c r="U27" i="40"/>
  <c r="J27" i="40"/>
  <c r="AC27" i="40"/>
  <c r="F27" i="40"/>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3" i="36"/>
  <c r="U33" i="36"/>
  <c r="AC39" i="40"/>
  <c r="W39" i="40"/>
  <c r="AZ465" i="3"/>
  <c r="W12" i="33"/>
  <c r="AC12" i="33"/>
  <c r="BL14" i="3"/>
  <c r="U30" i="33"/>
  <c r="AC13" i="34"/>
  <c r="AA47" i="34"/>
  <c r="W28" i="37"/>
  <c r="S19" i="39"/>
  <c r="F12" i="33"/>
  <c r="F39" i="40"/>
  <c r="BA14" i="3"/>
  <c r="AZ254" i="3"/>
  <c r="AZ286"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S17" i="40"/>
  <c r="S23" i="40"/>
  <c r="AC17" i="40"/>
  <c r="AC15" i="40"/>
  <c r="AB27" i="40"/>
  <c r="AA19" i="40"/>
  <c r="S28" i="40"/>
  <c r="AA27" i="40"/>
  <c r="U21" i="40"/>
  <c r="AB19" i="40"/>
  <c r="U37" i="39"/>
  <c r="F32" i="39"/>
  <c r="F106" i="39"/>
  <c r="G106" i="39" s="1"/>
  <c r="H106" i="39" s="1"/>
  <c r="I106" i="39" s="1"/>
  <c r="J106" i="39" s="1"/>
  <c r="K106" i="39" s="1"/>
  <c r="L106" i="39" s="1"/>
  <c r="M106" i="39" s="1"/>
  <c r="U25" i="39"/>
  <c r="AB27" i="39"/>
  <c r="J21" i="39"/>
  <c r="W21" i="39" s="1"/>
  <c r="F21" i="39"/>
  <c r="H21" i="39"/>
  <c r="U21" i="39" s="1"/>
  <c r="W19" i="39"/>
  <c r="U19" i="39"/>
  <c r="S17" i="39"/>
  <c r="S9" i="39"/>
  <c r="U14" i="39"/>
  <c r="AC13" i="39"/>
  <c r="S23" i="36"/>
  <c r="U26" i="36"/>
  <c r="S33" i="36"/>
  <c r="AA26" i="36"/>
  <c r="AA22" i="36"/>
  <c r="W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S32" i="37"/>
  <c r="AB31" i="37"/>
  <c r="W30" i="37"/>
  <c r="S36" i="37"/>
  <c r="AA38" i="37"/>
  <c r="U32" i="37"/>
  <c r="W38" i="37"/>
  <c r="AC35" i="37"/>
  <c r="S37" i="37"/>
  <c r="AC15" i="37"/>
  <c r="J17" i="37"/>
  <c r="W17" i="37" s="1"/>
  <c r="G73" i="37"/>
  <c r="F17" i="37"/>
  <c r="AA17" i="37" s="1"/>
  <c r="AB17" i="37"/>
  <c r="F75" i="37"/>
  <c r="F19" i="37"/>
  <c r="S19" i="37" s="1"/>
  <c r="F79" i="37"/>
  <c r="F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W19" i="33"/>
  <c r="J17" i="33"/>
  <c r="AC17" i="33" s="1"/>
  <c r="F79" i="33"/>
  <c r="G79" i="33" s="1"/>
  <c r="S15" i="33"/>
  <c r="U9" i="33"/>
  <c r="J10" i="33"/>
  <c r="W10" i="33" s="1"/>
  <c r="H10" i="33"/>
  <c r="U10" i="33" s="1"/>
  <c r="AC11" i="33"/>
  <c r="AB14" i="33"/>
  <c r="W43" i="21"/>
  <c r="W36" i="21"/>
  <c r="W41" i="21"/>
  <c r="AB39" i="21"/>
  <c r="AA43" i="21"/>
  <c r="S39" i="21"/>
  <c r="AA38" i="21"/>
  <c r="AA36" i="21"/>
  <c r="AC40" i="21"/>
  <c r="J15" i="21"/>
  <c r="F77" i="21"/>
  <c r="G77" i="21"/>
  <c r="F23" i="21"/>
  <c r="E85" i="21"/>
  <c r="D120" i="9"/>
  <c r="C18" i="9"/>
  <c r="D18" i="9" s="1"/>
  <c r="F34" i="67"/>
  <c r="F62" i="67" s="1"/>
  <c r="M20" i="67"/>
  <c r="F34" i="15"/>
  <c r="F62" i="15" s="1"/>
  <c r="BL17" i="3"/>
  <c r="BL13" i="3"/>
  <c r="J56" i="9"/>
  <c r="J57" i="9" s="1"/>
  <c r="J59" i="9" s="1"/>
  <c r="J61" i="9" s="1"/>
  <c r="A24" i="51"/>
  <c r="B18" i="72" s="1"/>
  <c r="U29" i="34"/>
  <c r="E5" i="6"/>
  <c r="E32" i="6"/>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69"/>
  <c r="W23" i="40"/>
  <c r="U32" i="40"/>
  <c r="S37" i="40"/>
  <c r="AB28" i="40"/>
  <c r="W28"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S27" i="39"/>
  <c r="W17" i="39"/>
  <c r="AC17" i="39"/>
  <c r="AA45" i="39"/>
  <c r="AB39" i="39"/>
  <c r="W34" i="39"/>
  <c r="S8" i="39"/>
  <c r="S20" i="36"/>
  <c r="AC25" i="36"/>
  <c r="W29" i="36"/>
  <c r="AC20" i="36"/>
  <c r="U25" i="36"/>
  <c r="AB28" i="36"/>
  <c r="W22" i="36"/>
  <c r="W23" i="36"/>
  <c r="AB20" i="35"/>
  <c r="AC25" i="35"/>
  <c r="U25" i="35"/>
  <c r="S24" i="35"/>
  <c r="U24" i="35"/>
  <c r="S35" i="35"/>
  <c r="W35" i="35"/>
  <c r="AA16" i="35"/>
  <c r="AA35" i="37"/>
  <c r="W36" i="37"/>
  <c r="S28" i="37"/>
  <c r="W32" i="37"/>
  <c r="U36" i="37"/>
  <c r="S40" i="37"/>
  <c r="U38" i="37"/>
  <c r="AB37" i="37"/>
  <c r="AC34" i="37"/>
  <c r="AB35" i="37"/>
  <c r="AA31" i="37"/>
  <c r="U19" i="37"/>
  <c r="U8" i="37"/>
  <c r="AB40" i="34"/>
  <c r="U19" i="34"/>
  <c r="W19" i="34"/>
  <c r="AC45" i="34"/>
  <c r="AA30" i="34"/>
  <c r="AB45" i="34"/>
  <c r="AB47" i="34"/>
  <c r="U25" i="34"/>
  <c r="AB36" i="34"/>
  <c r="AC29" i="34"/>
  <c r="W46" i="34"/>
  <c r="AC46" i="34"/>
  <c r="U30" i="34"/>
  <c r="AB30" i="34"/>
  <c r="S37" i="34"/>
  <c r="U38" i="34"/>
  <c r="AC40" i="34"/>
  <c r="W40" i="34"/>
  <c r="AA19" i="34"/>
  <c r="S19" i="34"/>
  <c r="AA36" i="34"/>
  <c r="S36" i="34"/>
  <c r="AA8" i="34"/>
  <c r="S8" i="34"/>
  <c r="AB9" i="34"/>
  <c r="U9" i="34"/>
  <c r="S46" i="34"/>
  <c r="AA46"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46" i="21"/>
  <c r="U40" i="21"/>
  <c r="AB31" i="21"/>
  <c r="U31" i="21"/>
  <c r="U13" i="21"/>
  <c r="AB13" i="21"/>
  <c r="S35" i="21"/>
  <c r="J37" i="21"/>
  <c r="W37" i="21" s="1"/>
  <c r="H15" i="21"/>
  <c r="U15" i="21" s="1"/>
  <c r="J17" i="21"/>
  <c r="AC17" i="21"/>
  <c r="AC19" i="21"/>
  <c r="W39" i="21"/>
  <c r="W30" i="21"/>
  <c r="S46" i="21"/>
  <c r="H45" i="21"/>
  <c r="U45" i="21" s="1"/>
  <c r="F29" i="21"/>
  <c r="AA29" i="21" s="1"/>
  <c r="F13" i="21"/>
  <c r="AA13" i="21" s="1"/>
  <c r="AC38" i="21"/>
  <c r="H32" i="21"/>
  <c r="H9" i="21"/>
  <c r="U9" i="21" s="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17" i="21"/>
  <c r="AC26" i="21"/>
  <c r="S28" i="21"/>
  <c r="AC34" i="21"/>
  <c r="AB36" i="21"/>
  <c r="W30" i="40"/>
  <c r="C19" i="39"/>
  <c r="C15" i="40"/>
  <c r="C17" i="40"/>
  <c r="C23" i="40"/>
  <c r="C21"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H32" i="39"/>
  <c r="AB32" i="39" s="1"/>
  <c r="AA32" i="39"/>
  <c r="S32" i="39"/>
  <c r="AB21" i="39"/>
  <c r="AA21" i="39"/>
  <c r="S21" i="39"/>
  <c r="AC17" i="37"/>
  <c r="J19" i="37"/>
  <c r="W19" i="37" s="1"/>
  <c r="G75" i="37"/>
  <c r="AA19"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AC32" i="33"/>
  <c r="W32" i="33"/>
  <c r="U27" i="33"/>
  <c r="G91" i="33"/>
  <c r="H91" i="33" s="1"/>
  <c r="I91" i="33"/>
  <c r="J91" i="33" s="1"/>
  <c r="K91" i="33" s="1"/>
  <c r="L91" i="33" s="1"/>
  <c r="M91" i="33" s="1"/>
  <c r="J27" i="33"/>
  <c r="W27" i="33" s="1"/>
  <c r="U25" i="33"/>
  <c r="AB25" i="33"/>
  <c r="AA25" i="33"/>
  <c r="G87" i="33"/>
  <c r="H87" i="33"/>
  <c r="I87" i="33" s="1"/>
  <c r="J87" i="33" s="1"/>
  <c r="K87" i="33" s="1"/>
  <c r="L87" i="33" s="1"/>
  <c r="M87" i="33" s="1"/>
  <c r="J25" i="33"/>
  <c r="W25" i="33" s="1"/>
  <c r="AB23" i="33"/>
  <c r="U23" i="33"/>
  <c r="F23" i="33"/>
  <c r="G85" i="33"/>
  <c r="H19" i="33"/>
  <c r="AB19" i="33" s="1"/>
  <c r="H17" i="33"/>
  <c r="U17" i="33" s="1"/>
  <c r="F17" i="33"/>
  <c r="S17" i="33" s="1"/>
  <c r="W17" i="33"/>
  <c r="AB15" i="21"/>
  <c r="J23" i="21"/>
  <c r="F85" i="21"/>
  <c r="G85" i="21" s="1"/>
  <c r="H23" i="21"/>
  <c r="S13" i="21"/>
  <c r="AP7" i="1"/>
  <c r="AB45" i="21"/>
  <c r="AB9" i="21"/>
  <c r="AA32" i="21"/>
  <c r="S32" i="21"/>
  <c r="W9" i="21"/>
  <c r="AB32" i="21"/>
  <c r="U32" i="21"/>
  <c r="U32" i="39"/>
  <c r="AC23" i="37"/>
  <c r="J11" i="37"/>
  <c r="AC11" i="37" s="1"/>
  <c r="H70" i="34"/>
  <c r="I70" i="34" s="1"/>
  <c r="J70" i="34" s="1"/>
  <c r="K70" i="34"/>
  <c r="L70" i="34" s="1"/>
  <c r="M70" i="34" s="1"/>
  <c r="J11" i="34"/>
  <c r="W11" i="34" s="1"/>
  <c r="AC27" i="33"/>
  <c r="AC25" i="33"/>
  <c r="U19" i="33"/>
  <c r="U23" i="21"/>
  <c r="AB23" i="21"/>
  <c r="AC23" i="21"/>
  <c r="W23" i="21"/>
  <c r="H109" i="9"/>
  <c r="M49" i="9" s="1"/>
  <c r="H112" i="9"/>
  <c r="D21" i="53"/>
  <c r="B39" i="72" s="1"/>
  <c r="H111" i="9"/>
  <c r="D126" i="9" s="1"/>
  <c r="AD3" i="71"/>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E13" i="76"/>
  <c r="F20" i="31"/>
  <c r="B13" i="76"/>
  <c r="B7" i="76"/>
  <c r="E2" i="68"/>
  <c r="E7" i="76"/>
  <c r="F4" i="73"/>
  <c r="B8" i="76"/>
  <c r="B10" i="76"/>
  <c r="F7" i="73"/>
  <c r="E11" i="76"/>
  <c r="E12" i="76"/>
  <c r="E8" i="76"/>
  <c r="B12" i="76"/>
  <c r="E2" i="69"/>
  <c r="F5" i="73"/>
  <c r="F6" i="73"/>
  <c r="E9" i="76"/>
  <c r="B9" i="76"/>
  <c r="AO13" i="1"/>
  <c r="F3" i="73"/>
  <c r="B11" i="76"/>
  <c r="G26" i="12" l="1"/>
  <c r="F3" i="35"/>
  <c r="G1" i="15"/>
  <c r="K1" i="12"/>
  <c r="K7" i="1"/>
  <c r="M7" i="1" s="1"/>
  <c r="O7" i="1" s="1"/>
  <c r="P7" i="1" s="1"/>
  <c r="G1" i="68"/>
  <c r="G1" i="67"/>
  <c r="BA17" i="3"/>
  <c r="BB5" i="3"/>
  <c r="BC5" i="3"/>
  <c r="AZ17" i="3"/>
  <c r="J1" i="73"/>
  <c r="D121" i="9"/>
  <c r="D7" i="52" s="1"/>
  <c r="D6" i="52"/>
  <c r="S23" i="37"/>
  <c r="AA23" i="37"/>
  <c r="AA37" i="21"/>
  <c r="S37" i="21"/>
  <c r="W15" i="21"/>
  <c r="AC15" i="21"/>
  <c r="D22" i="71"/>
  <c r="C21" i="71"/>
  <c r="D21" i="71" s="1"/>
  <c r="S23" i="21"/>
  <c r="AA23" i="21"/>
  <c r="S19" i="33"/>
  <c r="AA19" i="33"/>
  <c r="AA39" i="40"/>
  <c r="S39" i="40"/>
  <c r="U36" i="33"/>
  <c r="AB36" i="33"/>
  <c r="AC32" i="39"/>
  <c r="W32" i="39"/>
  <c r="AZ501" i="3"/>
  <c r="AB40" i="39"/>
  <c r="U40" i="39"/>
  <c r="J14" i="21"/>
  <c r="F14" i="21"/>
  <c r="H14" i="21"/>
  <c r="U12" i="35"/>
  <c r="AB12" i="35"/>
  <c r="J13" i="36"/>
  <c r="F13" i="36"/>
  <c r="F32" i="36"/>
  <c r="H32" i="36"/>
  <c r="J12" i="39"/>
  <c r="F12" i="39"/>
  <c r="H44" i="39"/>
  <c r="J44" i="39"/>
  <c r="F44" i="39"/>
  <c r="BL566" i="3"/>
  <c r="AZ566" i="3" s="1"/>
  <c r="BA562" i="3"/>
  <c r="BA561" i="3"/>
  <c r="AZ561" i="3" s="1"/>
  <c r="BA560" i="3"/>
  <c r="AZ560" i="3" s="1"/>
  <c r="BL558" i="3"/>
  <c r="AZ558" i="3" s="1"/>
  <c r="BA556" i="3"/>
  <c r="AZ556" i="3" s="1"/>
  <c r="AC44" i="33"/>
  <c r="W44" i="33"/>
  <c r="AC31" i="37"/>
  <c r="W31" i="37"/>
  <c r="BA569" i="3"/>
  <c r="BL568" i="3"/>
  <c r="BA568" i="3"/>
  <c r="BL564" i="3"/>
  <c r="BA563" i="3"/>
  <c r="AZ563" i="3" s="1"/>
  <c r="AB32" i="34"/>
  <c r="AA31" i="34"/>
  <c r="AA29" i="37"/>
  <c r="W34" i="40"/>
  <c r="AC26" i="36"/>
  <c r="S15" i="39"/>
  <c r="AA32" i="40"/>
  <c r="W29" i="35"/>
  <c r="U13" i="37"/>
  <c r="BD5" i="3"/>
  <c r="BM5" i="3"/>
  <c r="AZ313" i="3"/>
  <c r="AZ309" i="3"/>
  <c r="AZ535" i="3"/>
  <c r="BL565" i="3"/>
  <c r="AZ565" i="3" s="1"/>
  <c r="AZ575" i="3"/>
  <c r="AC47" i="34"/>
  <c r="W47" i="34"/>
  <c r="H13" i="36"/>
  <c r="J32" i="36"/>
  <c r="W32" i="36" s="1"/>
  <c r="S29" i="35"/>
  <c r="AA29" i="35"/>
  <c r="BL587" i="3"/>
  <c r="BA587" i="3"/>
  <c r="J29" i="21"/>
  <c r="H29" i="21"/>
  <c r="AC44" i="21"/>
  <c r="W44" i="21"/>
  <c r="S44" i="33"/>
  <c r="AA44" i="33"/>
  <c r="U34" i="35"/>
  <c r="AB34" i="35"/>
  <c r="AB30" i="37"/>
  <c r="U30" i="37"/>
  <c r="J39" i="37"/>
  <c r="F39" i="37"/>
  <c r="S39" i="37" s="1"/>
  <c r="J31" i="40"/>
  <c r="H31" i="40"/>
  <c r="BL580" i="3"/>
  <c r="BL579" i="3"/>
  <c r="BA579" i="3"/>
  <c r="BA578" i="3"/>
  <c r="BA577" i="3"/>
  <c r="AZ577" i="3" s="1"/>
  <c r="BA576" i="3"/>
  <c r="AZ576" i="3" s="1"/>
  <c r="BL575" i="3"/>
  <c r="BA571" i="3"/>
  <c r="AZ571" i="3" s="1"/>
  <c r="BL570" i="3"/>
  <c r="BA570" i="3"/>
  <c r="BA553" i="3"/>
  <c r="AZ553" i="3" s="1"/>
  <c r="BL552" i="3"/>
  <c r="BA552" i="3"/>
  <c r="AZ552" i="3" s="1"/>
  <c r="BA549" i="3"/>
  <c r="BL546" i="3"/>
  <c r="BL544" i="3"/>
  <c r="BA544" i="3"/>
  <c r="AZ544" i="3" s="1"/>
  <c r="BA543" i="3"/>
  <c r="AZ543" i="3" s="1"/>
  <c r="BL542" i="3"/>
  <c r="AZ542" i="3" s="1"/>
  <c r="BA541" i="3"/>
  <c r="AZ541" i="3" s="1"/>
  <c r="BA540" i="3"/>
  <c r="AZ540" i="3" s="1"/>
  <c r="BA538" i="3"/>
  <c r="AZ538" i="3" s="1"/>
  <c r="BL537" i="3"/>
  <c r="BA535" i="3"/>
  <c r="BA534" i="3"/>
  <c r="AZ534" i="3" s="1"/>
  <c r="BL533" i="3"/>
  <c r="AZ533" i="3" s="1"/>
  <c r="BA533" i="3"/>
  <c r="BL532" i="3"/>
  <c r="AZ532" i="3" s="1"/>
  <c r="BL530" i="3"/>
  <c r="BA530" i="3"/>
  <c r="BA527" i="3"/>
  <c r="BL526" i="3"/>
  <c r="BA525" i="3"/>
  <c r="AZ525" i="3" s="1"/>
  <c r="BL524" i="3"/>
  <c r="BA524" i="3"/>
  <c r="BA522" i="3"/>
  <c r="AZ522" i="3" s="1"/>
  <c r="BL521" i="3"/>
  <c r="AZ521" i="3" s="1"/>
  <c r="BA521" i="3"/>
  <c r="BA517" i="3"/>
  <c r="BA516" i="3"/>
  <c r="AZ516" i="3" s="1"/>
  <c r="AZ514" i="3"/>
  <c r="AZ510" i="3"/>
  <c r="AZ504" i="3"/>
  <c r="AZ498" i="3"/>
  <c r="AB14" i="36"/>
  <c r="U35" i="39"/>
  <c r="H12" i="39"/>
  <c r="S31" i="39"/>
  <c r="U36" i="40"/>
  <c r="BP5" i="3"/>
  <c r="G29" i="6" s="1"/>
  <c r="AC5" i="3"/>
  <c r="BO5" i="3"/>
  <c r="F29" i="6" s="1"/>
  <c r="AZ379" i="3"/>
  <c r="AZ357" i="3"/>
  <c r="AZ372" i="3"/>
  <c r="AZ347" i="3"/>
  <c r="AZ337" i="3"/>
  <c r="AZ376" i="3"/>
  <c r="AA11" i="39"/>
  <c r="AZ529" i="3"/>
  <c r="AZ526" i="3"/>
  <c r="AZ536" i="3"/>
  <c r="AZ546" i="3"/>
  <c r="AZ572" i="3"/>
  <c r="W13" i="40"/>
  <c r="W11" i="35"/>
  <c r="AC11" i="35"/>
  <c r="U46" i="34"/>
  <c r="W45" i="33"/>
  <c r="AC45" i="33"/>
  <c r="S12" i="36"/>
  <c r="AA12" i="36"/>
  <c r="B72" i="43"/>
  <c r="C15" i="39"/>
  <c r="F45" i="33"/>
  <c r="H45" i="33"/>
  <c r="J14" i="34"/>
  <c r="F14" i="34"/>
  <c r="F32" i="34"/>
  <c r="J32" i="34"/>
  <c r="F12" i="35"/>
  <c r="J12" i="35"/>
  <c r="AC23" i="35"/>
  <c r="W23" i="35"/>
  <c r="AC28" i="36"/>
  <c r="W28" i="36"/>
  <c r="H27" i="37"/>
  <c r="F27" i="37"/>
  <c r="F38" i="40"/>
  <c r="H38" i="40"/>
  <c r="U30" i="36"/>
  <c r="AB30" i="36"/>
  <c r="BL584" i="3"/>
  <c r="BA584" i="3"/>
  <c r="BL582" i="3"/>
  <c r="AZ582" i="3" s="1"/>
  <c r="AZ537" i="3"/>
  <c r="AZ564" i="3"/>
  <c r="AZ580" i="3"/>
  <c r="U30" i="40"/>
  <c r="U11" i="39"/>
  <c r="U15" i="34"/>
  <c r="AA17" i="33"/>
  <c r="S36" i="33"/>
  <c r="S17" i="37"/>
  <c r="AA15" i="21"/>
  <c r="AB44" i="21"/>
  <c r="W33" i="34"/>
  <c r="AB33" i="34"/>
  <c r="AA40" i="34"/>
  <c r="U38" i="39"/>
  <c r="S23" i="39"/>
  <c r="W15" i="33"/>
  <c r="S43" i="34"/>
  <c r="U23" i="37"/>
  <c r="S30" i="37"/>
  <c r="W27" i="37"/>
  <c r="AC14" i="35"/>
  <c r="AZ345" i="3"/>
  <c r="AZ334" i="3"/>
  <c r="AZ390" i="3"/>
  <c r="AZ351" i="3"/>
  <c r="AZ549" i="3"/>
  <c r="AZ539" i="3"/>
  <c r="G557" i="3"/>
  <c r="AZ513" i="3"/>
  <c r="AZ574" i="3"/>
  <c r="S14" i="37"/>
  <c r="U23" i="34"/>
  <c r="W22" i="35"/>
  <c r="AA40" i="21"/>
  <c r="S40" i="21"/>
  <c r="AC27" i="35"/>
  <c r="W27" i="35"/>
  <c r="J9" i="36"/>
  <c r="H12" i="36"/>
  <c r="J12" i="36"/>
  <c r="H34" i="36"/>
  <c r="F34" i="36"/>
  <c r="J34" i="36"/>
  <c r="W34" i="36" s="1"/>
  <c r="H31" i="39"/>
  <c r="J31" i="39"/>
  <c r="J43" i="39"/>
  <c r="F43" i="39"/>
  <c r="H43" i="39"/>
  <c r="J37" i="39"/>
  <c r="F37" i="39"/>
  <c r="AA38" i="39"/>
  <c r="S38" i="39"/>
  <c r="F14" i="40"/>
  <c r="H14" i="40"/>
  <c r="AZ203" i="3"/>
  <c r="AZ306" i="3"/>
  <c r="BL519" i="3"/>
  <c r="AZ519" i="3" s="1"/>
  <c r="BL531" i="3"/>
  <c r="AZ531" i="3" s="1"/>
  <c r="BL559" i="3"/>
  <c r="AZ559" i="3" s="1"/>
  <c r="BL573" i="3"/>
  <c r="AZ573" i="3" s="1"/>
  <c r="BL583" i="3"/>
  <c r="AZ583" i="3" s="1"/>
  <c r="S44" i="34"/>
  <c r="BL585" i="3"/>
  <c r="AZ585" i="3" s="1"/>
  <c r="J27" i="21"/>
  <c r="F27" i="21"/>
  <c r="F26" i="33"/>
  <c r="H26" i="33"/>
  <c r="AB31" i="36"/>
  <c r="U31" i="36"/>
  <c r="H25" i="37"/>
  <c r="F25" i="37"/>
  <c r="U8" i="39"/>
  <c r="AB8" i="39"/>
  <c r="BL503" i="3"/>
  <c r="AZ503" i="3" s="1"/>
  <c r="BL515" i="3"/>
  <c r="AZ515" i="3" s="1"/>
  <c r="BL523" i="3"/>
  <c r="AZ523" i="3" s="1"/>
  <c r="BL527" i="3"/>
  <c r="BL547" i="3"/>
  <c r="AZ547" i="3" s="1"/>
  <c r="BL569" i="3"/>
  <c r="AZ569" i="3" s="1"/>
  <c r="BL557" i="3"/>
  <c r="AZ557" i="3" s="1"/>
  <c r="AC9" i="34"/>
  <c r="W9" i="34"/>
  <c r="S9" i="40"/>
  <c r="AA9" i="40"/>
  <c r="AZ419" i="3"/>
  <c r="E19" i="6"/>
  <c r="K6" i="1" s="1"/>
  <c r="M6" i="1" s="1"/>
  <c r="BL432" i="3"/>
  <c r="AZ432" i="3" s="1"/>
  <c r="BL435" i="3"/>
  <c r="AZ435" i="3" s="1"/>
  <c r="BL436" i="3"/>
  <c r="G449"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4" i="3"/>
  <c r="BA436" i="3"/>
  <c r="AZ217" i="3"/>
  <c r="AZ228" i="3"/>
  <c r="H5" i="3"/>
  <c r="BA13" i="3"/>
  <c r="A15" i="62"/>
  <c r="B61" i="72"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G445" i="3"/>
  <c r="AZ448" i="3"/>
  <c r="AZ476" i="3"/>
  <c r="S31" i="35"/>
  <c r="G587" i="3"/>
  <c r="BA551" i="3"/>
  <c r="AZ551" i="3" s="1"/>
  <c r="BA550" i="3"/>
  <c r="AZ550" i="3" s="1"/>
  <c r="BL548" i="3"/>
  <c r="AZ548" i="3" s="1"/>
  <c r="BA401" i="3"/>
  <c r="AZ401" i="3" s="1"/>
  <c r="BA403" i="3"/>
  <c r="AZ403" i="3" s="1"/>
  <c r="BA404" i="3"/>
  <c r="BA405" i="3"/>
  <c r="AZ405" i="3" s="1"/>
  <c r="BL410" i="3"/>
  <c r="G412" i="3"/>
  <c r="G418" i="3"/>
  <c r="BA422" i="3"/>
  <c r="AZ422" i="3" s="1"/>
  <c r="G429" i="3"/>
  <c r="BL431" i="3"/>
  <c r="G433" i="3"/>
  <c r="BL434" i="3"/>
  <c r="BA438" i="3"/>
  <c r="BA451" i="3"/>
  <c r="AZ451" i="3" s="1"/>
  <c r="AZ458" i="3"/>
  <c r="AZ462" i="3"/>
  <c r="BA210" i="3"/>
  <c r="AZ210" i="3" s="1"/>
  <c r="BL210" i="3"/>
  <c r="BL212" i="3"/>
  <c r="BL214" i="3"/>
  <c r="AZ214" i="3" s="1"/>
  <c r="BL225" i="3"/>
  <c r="G443" i="3"/>
  <c r="BA446" i="3"/>
  <c r="BA450" i="3"/>
  <c r="BA453" i="3"/>
  <c r="AZ453" i="3" s="1"/>
  <c r="BA455" i="3"/>
  <c r="AZ455" i="3" s="1"/>
  <c r="BL457" i="3"/>
  <c r="BL460" i="3"/>
  <c r="BL461" i="3"/>
  <c r="BL463" i="3"/>
  <c r="BA471" i="3"/>
  <c r="AZ471" i="3" s="1"/>
  <c r="BL317" i="3"/>
  <c r="BA349" i="3"/>
  <c r="AZ349" i="3" s="1"/>
  <c r="BA353" i="3"/>
  <c r="BL353" i="3"/>
  <c r="BA358" i="3"/>
  <c r="AZ358" i="3" s="1"/>
  <c r="BA368" i="3"/>
  <c r="AZ368" i="3" s="1"/>
  <c r="BL368" i="3"/>
  <c r="BA388" i="3"/>
  <c r="AZ388" i="3" s="1"/>
  <c r="BA396" i="3"/>
  <c r="BA209" i="3"/>
  <c r="BL217" i="3"/>
  <c r="BA219" i="3"/>
  <c r="AZ219" i="3" s="1"/>
  <c r="BA221" i="3"/>
  <c r="BA223" i="3"/>
  <c r="BL228" i="3"/>
  <c r="BL234" i="3"/>
  <c r="AZ239" i="3"/>
  <c r="BL239" i="3"/>
  <c r="BL437" i="3"/>
  <c r="AZ437" i="3" s="1"/>
  <c r="G440" i="3"/>
  <c r="BL441" i="3"/>
  <c r="BL442" i="3"/>
  <c r="BL444" i="3"/>
  <c r="AZ444" i="3" s="1"/>
  <c r="G447" i="3"/>
  <c r="BL448" i="3"/>
  <c r="G451" i="3"/>
  <c r="BA454" i="3"/>
  <c r="AZ454" i="3" s="1"/>
  <c r="BA457" i="3"/>
  <c r="AZ457" i="3" s="1"/>
  <c r="BA459" i="3"/>
  <c r="AZ459" i="3" s="1"/>
  <c r="BA460" i="3"/>
  <c r="BA461" i="3"/>
  <c r="BL464" i="3"/>
  <c r="BL466" i="3"/>
  <c r="AZ466" i="3" s="1"/>
  <c r="G469" i="3"/>
  <c r="BL476" i="3"/>
  <c r="BL477" i="3"/>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2" i="3"/>
  <c r="BA238" i="3"/>
  <c r="AZ177"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G236" i="3"/>
  <c r="AZ270" i="3"/>
  <c r="BA243" i="3"/>
  <c r="AZ243" i="3" s="1"/>
  <c r="BL248" i="3"/>
  <c r="AZ248" i="3" s="1"/>
  <c r="BL250" i="3"/>
  <c r="AZ250" i="3" s="1"/>
  <c r="BA259" i="3"/>
  <c r="AZ259" i="3" s="1"/>
  <c r="BL261" i="3"/>
  <c r="BA263" i="3"/>
  <c r="BL157" i="3"/>
  <c r="AZ157" i="3" s="1"/>
  <c r="BL159" i="3"/>
  <c r="AZ159" i="3" s="1"/>
  <c r="BL177" i="3"/>
  <c r="BL183" i="3"/>
  <c r="AZ183" i="3" s="1"/>
  <c r="BA186" i="3"/>
  <c r="AZ186" i="3" s="1"/>
  <c r="BA190" i="3"/>
  <c r="AZ190" i="3" s="1"/>
  <c r="BA197" i="3"/>
  <c r="AZ197" i="3" s="1"/>
  <c r="BL201" i="3"/>
  <c r="AZ201" i="3" s="1"/>
  <c r="BL203" i="3"/>
  <c r="BA204" i="3"/>
  <c r="AZ204" i="3" s="1"/>
  <c r="BA18" i="3"/>
  <c r="AZ18" i="3" s="1"/>
  <c r="BL21" i="3"/>
  <c r="G23" i="3"/>
  <c r="G29" i="3"/>
  <c r="BL29" i="3"/>
  <c r="G33" i="3"/>
  <c r="G34" i="3"/>
  <c r="BA37" i="3"/>
  <c r="G39" i="3"/>
  <c r="BL39" i="3"/>
  <c r="AZ39" i="3" s="1"/>
  <c r="G43" i="3"/>
  <c r="G44" i="3"/>
  <c r="BA45" i="3"/>
  <c r="BA46" i="3"/>
  <c r="BA50" i="3"/>
  <c r="BL54" i="3"/>
  <c r="BA63" i="3"/>
  <c r="BL68" i="3"/>
  <c r="BA69" i="3"/>
  <c r="AZ69" i="3" s="1"/>
  <c r="BA77" i="3"/>
  <c r="AZ77" i="3" s="1"/>
  <c r="BL82" i="3"/>
  <c r="BA84" i="3"/>
  <c r="BL96" i="3"/>
  <c r="V24" i="71"/>
  <c r="E23" i="71"/>
  <c r="E22" i="71" s="1"/>
  <c r="E21" i="71" s="1"/>
  <c r="E20" i="71" s="1"/>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AZ182" i="3" s="1"/>
  <c r="BA185" i="3"/>
  <c r="BL191" i="3"/>
  <c r="AZ191" i="3" s="1"/>
  <c r="BA193" i="3"/>
  <c r="BA196" i="3"/>
  <c r="AZ196" i="3" s="1"/>
  <c r="G203" i="3"/>
  <c r="BA205" i="3"/>
  <c r="AZ205" i="3" s="1"/>
  <c r="BL20" i="3"/>
  <c r="BA21" i="3"/>
  <c r="AZ21" i="3" s="1"/>
  <c r="BA25" i="3"/>
  <c r="BA29" i="3"/>
  <c r="AZ38" i="3"/>
  <c r="BA56" i="3"/>
  <c r="BA60" i="3"/>
  <c r="C44" i="71"/>
  <c r="D43" i="71"/>
  <c r="C52" i="71"/>
  <c r="D51" i="71"/>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BA28" i="3"/>
  <c r="AZ28" i="3" s="1"/>
  <c r="BA31" i="3"/>
  <c r="AZ31" i="3" s="1"/>
  <c r="BA32" i="3"/>
  <c r="G38" i="3"/>
  <c r="BA38" i="3"/>
  <c r="BA41" i="3"/>
  <c r="BA42" i="3"/>
  <c r="G47" i="3"/>
  <c r="BA48" i="3"/>
  <c r="BA49" i="3"/>
  <c r="BL50" i="3"/>
  <c r="BL51" i="3"/>
  <c r="AZ51" i="3" s="1"/>
  <c r="BL53" i="3"/>
  <c r="AZ64" i="3"/>
  <c r="BA75" i="3"/>
  <c r="AZ75" i="3" s="1"/>
  <c r="C47" i="71"/>
  <c r="D47" i="71" s="1"/>
  <c r="D46" i="71"/>
  <c r="BL266" i="3"/>
  <c r="BA268" i="3"/>
  <c r="BL273" i="3"/>
  <c r="G274" i="3"/>
  <c r="BA277" i="3"/>
  <c r="BL277" i="3"/>
  <c r="BA282" i="3"/>
  <c r="AZ282" i="3" s="1"/>
  <c r="BL282" i="3"/>
  <c r="BA284" i="3"/>
  <c r="AZ284" i="3" s="1"/>
  <c r="BL290"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27" i="3"/>
  <c r="BL30" i="3"/>
  <c r="BL40" i="3"/>
  <c r="BL41" i="3"/>
  <c r="BL45" i="3"/>
  <c r="BL49" i="3"/>
  <c r="BL55" i="3"/>
  <c r="AZ55" i="3" s="1"/>
  <c r="BA59" i="3"/>
  <c r="AZ59" i="3" s="1"/>
  <c r="BL61" i="3"/>
  <c r="BA66" i="3"/>
  <c r="BL76" i="3"/>
  <c r="BL88" i="3"/>
  <c r="AZ88" i="3" s="1"/>
  <c r="BL90" i="3"/>
  <c r="BA92" i="3"/>
  <c r="BA95" i="3"/>
  <c r="BL97" i="3"/>
  <c r="AZ97" i="3" s="1"/>
  <c r="D31" i="71"/>
  <c r="C32" i="71"/>
  <c r="C55" i="71"/>
  <c r="D54" i="71"/>
  <c r="N67" i="71"/>
  <c r="B66" i="71"/>
  <c r="F66" i="71"/>
  <c r="Q67" i="71"/>
  <c r="BL56" i="3"/>
  <c r="BA58" i="3"/>
  <c r="AZ58" i="3" s="1"/>
  <c r="BL59" i="3"/>
  <c r="BL60" i="3"/>
  <c r="BA61" i="3"/>
  <c r="AZ61" i="3" s="1"/>
  <c r="BA68" i="3"/>
  <c r="BA73" i="3"/>
  <c r="BA80" i="3"/>
  <c r="G84" i="3"/>
  <c r="BL84" i="3"/>
  <c r="BA89" i="3"/>
  <c r="G99" i="3"/>
  <c r="G103" i="3"/>
  <c r="BA103" i="3"/>
  <c r="AZ103" i="3" s="1"/>
  <c r="BA104" i="3"/>
  <c r="BA106" i="3"/>
  <c r="BL108" i="3"/>
  <c r="AZ108" i="3" s="1"/>
  <c r="G110" i="3"/>
  <c r="BL111" i="3"/>
  <c r="C40" i="68"/>
  <c r="S21" i="33"/>
  <c r="S21" i="37"/>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1" i="3"/>
  <c r="AZ101" i="3" s="1"/>
  <c r="BL112"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49" i="3"/>
  <c r="G50" i="3"/>
  <c r="G52" i="3"/>
  <c r="BA52" i="3"/>
  <c r="AZ52" i="3" s="1"/>
  <c r="BA53" i="3"/>
  <c r="AZ53" i="3" s="1"/>
  <c r="BA54" i="3"/>
  <c r="BL57" i="3"/>
  <c r="AZ57" i="3" s="1"/>
  <c r="G59" i="3"/>
  <c r="G62" i="3"/>
  <c r="BL62" i="3"/>
  <c r="AZ62" i="3" s="1"/>
  <c r="BL63" i="3"/>
  <c r="G65" i="3"/>
  <c r="BL65" i="3"/>
  <c r="AZ65" i="3" s="1"/>
  <c r="BL66" i="3"/>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21" i="68"/>
  <c r="AB21" i="33"/>
  <c r="S21" i="34"/>
  <c r="B88" i="43"/>
  <c r="F8" i="1"/>
  <c r="G8" i="1" s="1"/>
  <c r="G44" i="43"/>
  <c r="AB28" i="71"/>
  <c r="AB33" i="71"/>
  <c r="AA30" i="71"/>
  <c r="E35" i="71"/>
  <c r="E36" i="71" s="1"/>
  <c r="U36" i="71" s="1"/>
  <c r="AB31" i="71"/>
  <c r="AA36" i="71"/>
  <c r="B47" i="71"/>
  <c r="B48" i="71" s="1"/>
  <c r="S48" i="71" s="1"/>
  <c r="H69" i="43"/>
  <c r="C40" i="69"/>
  <c r="E19" i="68"/>
  <c r="G22" i="68"/>
  <c r="G22" i="69"/>
  <c r="G22" i="11"/>
  <c r="E1" i="73"/>
  <c r="G16" i="3"/>
  <c r="BL15" i="3"/>
  <c r="AZ15" i="3" s="1"/>
  <c r="AZ14" i="3"/>
  <c r="BL16" i="3"/>
  <c r="AZ16"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8" i="6"/>
  <c r="K14"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C14" i="82"/>
  <c r="M6" i="15"/>
  <c r="F16" i="15"/>
  <c r="F42" i="15"/>
  <c r="F40" i="15"/>
  <c r="J15" i="15"/>
  <c r="J15" i="67"/>
  <c r="F43" i="67"/>
  <c r="F7" i="15"/>
  <c r="F13" i="67"/>
  <c r="C76" i="15"/>
  <c r="F9" i="67"/>
  <c r="D4" i="73"/>
  <c r="C76" i="67"/>
  <c r="F43" i="15"/>
  <c r="M28" i="15"/>
  <c r="M28" i="67"/>
  <c r="M24" i="15"/>
  <c r="M8" i="15"/>
  <c r="F9" i="15"/>
  <c r="F8" i="15"/>
  <c r="F36" i="15"/>
  <c r="F38" i="15"/>
  <c r="M9" i="67"/>
  <c r="M29" i="67"/>
  <c r="D3" i="73"/>
  <c r="M24" i="67"/>
  <c r="F37" i="67"/>
  <c r="L48" i="67"/>
  <c r="F26" i="67"/>
  <c r="D5" i="73"/>
  <c r="L47" i="15"/>
  <c r="F6" i="15"/>
  <c r="M23" i="15"/>
  <c r="F26" i="15"/>
  <c r="F13" i="15"/>
  <c r="F8" i="67"/>
  <c r="F16" i="67"/>
  <c r="F37" i="15"/>
  <c r="M23" i="67"/>
  <c r="M22" i="67"/>
  <c r="L47" i="67"/>
  <c r="F38" i="67"/>
  <c r="F40" i="67"/>
  <c r="F36" i="67"/>
  <c r="D7" i="73"/>
  <c r="C16" i="82"/>
  <c r="M26" i="15"/>
  <c r="M9" i="15"/>
  <c r="L48" i="15"/>
  <c r="M22" i="15"/>
  <c r="D6" i="73"/>
  <c r="F42" i="67"/>
  <c r="M29" i="15"/>
  <c r="F7" i="67"/>
  <c r="M8" i="67"/>
  <c r="F6" i="67"/>
  <c r="M6" i="67"/>
  <c r="M26" i="67"/>
  <c r="C18" i="82" l="1"/>
  <c r="C15" i="82"/>
  <c r="C19" i="82"/>
  <c r="O6" i="1"/>
  <c r="M11" i="82"/>
  <c r="J10" i="82" s="1"/>
  <c r="J5" i="82" s="1"/>
  <c r="F11" i="82"/>
  <c r="F66" i="15"/>
  <c r="F64" i="15"/>
  <c r="F68" i="15"/>
  <c r="J53" i="15"/>
  <c r="L56" i="15" s="1"/>
  <c r="I54" i="15"/>
  <c r="J57" i="15"/>
  <c r="J55" i="15" s="1"/>
  <c r="J58" i="15" s="1"/>
  <c r="Q50" i="15" s="1"/>
  <c r="C27" i="15"/>
  <c r="F51" i="15"/>
  <c r="L58" i="15"/>
  <c r="L59" i="15"/>
  <c r="Q74" i="15" s="1"/>
  <c r="N59" i="15"/>
  <c r="M59" i="15"/>
  <c r="F51" i="67"/>
  <c r="E59" i="40"/>
  <c r="J26" i="43"/>
  <c r="H16" i="1"/>
  <c r="E29" i="6"/>
  <c r="K15" i="1" s="1"/>
  <c r="K16" i="1" s="1"/>
  <c r="Q16" i="1"/>
  <c r="F27" i="69" s="1"/>
  <c r="C47" i="69" s="1"/>
  <c r="D45" i="69" s="1"/>
  <c r="G16" i="1"/>
  <c r="F10" i="39" s="1"/>
  <c r="J7" i="36"/>
  <c r="F71" i="15"/>
  <c r="F64" i="67"/>
  <c r="C27" i="67"/>
  <c r="Q71" i="67"/>
  <c r="C6" i="67"/>
  <c r="C32" i="67" s="1"/>
  <c r="F68" i="67"/>
  <c r="F66" i="67"/>
  <c r="J53" i="67"/>
  <c r="F1" i="67" s="1"/>
  <c r="L56" i="67"/>
  <c r="I54" i="67"/>
  <c r="J57" i="67"/>
  <c r="J55" i="67" s="1"/>
  <c r="J58" i="67" s="1"/>
  <c r="Q50" i="67" s="1"/>
  <c r="M59" i="67"/>
  <c r="N59" i="67"/>
  <c r="L59" i="67"/>
  <c r="Q61" i="67" s="1"/>
  <c r="L58" i="67"/>
  <c r="Q60" i="67" s="1"/>
  <c r="F65" i="67"/>
  <c r="Q71" i="15"/>
  <c r="M7" i="67"/>
  <c r="J6" i="67" s="1"/>
  <c r="J18" i="67" s="1"/>
  <c r="F50" i="67"/>
  <c r="M7" i="15"/>
  <c r="J6" i="15" s="1"/>
  <c r="J18" i="15" s="1"/>
  <c r="C6" i="15"/>
  <c r="C32" i="15" s="1"/>
  <c r="F50" i="15"/>
  <c r="F65" i="15"/>
  <c r="F71" i="67"/>
  <c r="F30" i="6"/>
  <c r="D83" i="71"/>
  <c r="C82" i="71"/>
  <c r="D82" i="71" s="1"/>
  <c r="O65" i="71"/>
  <c r="D66" i="71"/>
  <c r="O66" i="71"/>
  <c r="N65" i="71"/>
  <c r="N66" i="71"/>
  <c r="T32" i="71"/>
  <c r="D32" i="71"/>
  <c r="AZ66" i="3"/>
  <c r="AZ25" i="3"/>
  <c r="AZ84" i="3"/>
  <c r="AZ464" i="3"/>
  <c r="AZ238" i="3"/>
  <c r="AZ460" i="3"/>
  <c r="AZ223" i="3"/>
  <c r="AZ425" i="3"/>
  <c r="AA27" i="21"/>
  <c r="S27" i="21"/>
  <c r="U14" i="40"/>
  <c r="AB14" i="40"/>
  <c r="AA37" i="39"/>
  <c r="S37" i="39"/>
  <c r="AC43" i="39"/>
  <c r="W43" i="39"/>
  <c r="S34" i="36"/>
  <c r="AA34" i="36"/>
  <c r="AC9" i="36"/>
  <c r="W9" i="36"/>
  <c r="AB27" i="37"/>
  <c r="U27" i="37"/>
  <c r="AA32" i="34"/>
  <c r="S32" i="34"/>
  <c r="S45" i="33"/>
  <c r="AA45" i="33"/>
  <c r="AB12" i="39"/>
  <c r="U12" i="39"/>
  <c r="AZ524" i="3"/>
  <c r="AZ527" i="3"/>
  <c r="AZ579" i="3"/>
  <c r="AC31" i="40"/>
  <c r="W31" i="40"/>
  <c r="AC29" i="21"/>
  <c r="W29" i="21"/>
  <c r="W44" i="39"/>
  <c r="AC44" i="39"/>
  <c r="AB32" i="36"/>
  <c r="U32" i="36"/>
  <c r="W14" i="21"/>
  <c r="AC14" i="21"/>
  <c r="J7" i="37"/>
  <c r="C40" i="71"/>
  <c r="D39" i="71"/>
  <c r="AZ27" i="3"/>
  <c r="D44" i="71"/>
  <c r="T44" i="71"/>
  <c r="AZ150" i="3"/>
  <c r="AZ63" i="3"/>
  <c r="AZ45" i="3"/>
  <c r="AZ263" i="3"/>
  <c r="AZ415" i="3"/>
  <c r="AZ398" i="3"/>
  <c r="AC27" i="21"/>
  <c r="W27" i="21"/>
  <c r="S14" i="40"/>
  <c r="AA14" i="40"/>
  <c r="AC37" i="39"/>
  <c r="W37" i="39"/>
  <c r="W31" i="39"/>
  <c r="AC31" i="39"/>
  <c r="AB34" i="36"/>
  <c r="U34" i="36"/>
  <c r="AZ584" i="3"/>
  <c r="AB38" i="40"/>
  <c r="U38" i="40"/>
  <c r="W12" i="35"/>
  <c r="AC12" i="35"/>
  <c r="S14" i="34"/>
  <c r="AA14" i="34"/>
  <c r="AZ530" i="3"/>
  <c r="AZ570" i="3"/>
  <c r="AZ587" i="3"/>
  <c r="AB44" i="39"/>
  <c r="U44" i="39"/>
  <c r="AA32" i="36"/>
  <c r="S32" i="36"/>
  <c r="G5" i="3"/>
  <c r="B3" i="3" s="1"/>
  <c r="E510" i="3" s="1"/>
  <c r="C70" i="71"/>
  <c r="D70" i="71" s="1"/>
  <c r="D71" i="71"/>
  <c r="C36" i="71"/>
  <c r="D35" i="71"/>
  <c r="AA25" i="37"/>
  <c r="S25" i="37"/>
  <c r="AB26" i="33"/>
  <c r="U26" i="33"/>
  <c r="U43" i="39"/>
  <c r="AB43" i="39"/>
  <c r="AB31" i="39"/>
  <c r="U31" i="39"/>
  <c r="AC12" i="36"/>
  <c r="W12" i="36"/>
  <c r="S38" i="40"/>
  <c r="AA38" i="40"/>
  <c r="W14" i="34"/>
  <c r="AC14" i="34"/>
  <c r="AC39" i="37"/>
  <c r="W39" i="37"/>
  <c r="U13" i="36"/>
  <c r="AB13" i="36"/>
  <c r="AZ568" i="3"/>
  <c r="S12" i="39"/>
  <c r="AA12" i="39"/>
  <c r="S13" i="36"/>
  <c r="AA13" i="36"/>
  <c r="U14" i="21"/>
  <c r="AB14" i="21"/>
  <c r="G30" i="6"/>
  <c r="G31" i="6" s="1"/>
  <c r="T28" i="71"/>
  <c r="D28" i="71"/>
  <c r="U28" i="71" s="1"/>
  <c r="C27" i="71"/>
  <c r="D79" i="71"/>
  <c r="C78" i="71"/>
  <c r="D78" i="71" s="1"/>
  <c r="C56" i="71"/>
  <c r="D55" i="71"/>
  <c r="AZ302" i="3"/>
  <c r="AZ277" i="3"/>
  <c r="AZ49" i="3"/>
  <c r="AZ41" i="3"/>
  <c r="AZ20" i="3"/>
  <c r="T52" i="71"/>
  <c r="D52" i="71"/>
  <c r="AZ29" i="3"/>
  <c r="AZ273" i="3"/>
  <c r="AZ50" i="3"/>
  <c r="AZ332" i="3"/>
  <c r="AZ461" i="3"/>
  <c r="AZ353" i="3"/>
  <c r="AZ404" i="3"/>
  <c r="AP6" i="1"/>
  <c r="C36" i="69" s="1"/>
  <c r="U25" i="37"/>
  <c r="AB25" i="37"/>
  <c r="S26" i="33"/>
  <c r="AA26" i="33"/>
  <c r="AA43" i="39"/>
  <c r="S43" i="39"/>
  <c r="U12" i="36"/>
  <c r="AB12" i="36"/>
  <c r="AA27" i="37"/>
  <c r="S27" i="37"/>
  <c r="W32" i="34"/>
  <c r="AC32" i="34"/>
  <c r="U45" i="33"/>
  <c r="AB45" i="33"/>
  <c r="U31" i="40"/>
  <c r="AB31" i="40"/>
  <c r="U29" i="21"/>
  <c r="AB29" i="21"/>
  <c r="AA44" i="39"/>
  <c r="S44" i="39"/>
  <c r="AC12" i="39"/>
  <c r="W12" i="39"/>
  <c r="S14" i="21"/>
  <c r="AA14" i="21"/>
  <c r="G26" i="43"/>
  <c r="N94" i="46"/>
  <c r="N370" i="46"/>
  <c r="P6" i="1"/>
  <c r="C13" i="12" s="1"/>
  <c r="F26" i="43"/>
  <c r="E26" i="43"/>
  <c r="K1" i="73"/>
  <c r="E539" i="3"/>
  <c r="E575" i="3"/>
  <c r="E502" i="3"/>
  <c r="E466" i="3"/>
  <c r="E255" i="3"/>
  <c r="E554" i="3"/>
  <c r="E517" i="3"/>
  <c r="E479" i="3"/>
  <c r="E56" i="3"/>
  <c r="E95" i="3"/>
  <c r="E241" i="3"/>
  <c r="E292" i="3"/>
  <c r="E389" i="3"/>
  <c r="E76" i="3"/>
  <c r="E484" i="3"/>
  <c r="E425" i="3"/>
  <c r="E103" i="3"/>
  <c r="E267" i="3"/>
  <c r="E249" i="3"/>
  <c r="E492" i="3"/>
  <c r="E23" i="3"/>
  <c r="E33" i="3"/>
  <c r="E233" i="3"/>
  <c r="E381" i="3"/>
  <c r="E68" i="3"/>
  <c r="E264" i="3"/>
  <c r="E283" i="3"/>
  <c r="E309"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43" i="3"/>
  <c r="E428" i="3"/>
  <c r="E78" i="3"/>
  <c r="E190" i="3"/>
  <c r="E342" i="3"/>
  <c r="E35" i="3"/>
  <c r="E49" i="3"/>
  <c r="E80" i="3"/>
  <c r="E158" i="3"/>
  <c r="E83" i="3"/>
  <c r="E16" i="3"/>
  <c r="E223" i="3"/>
  <c r="E116"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Q60" i="15"/>
  <c r="Q73" i="15"/>
  <c r="AE11" i="1"/>
  <c r="AE9" i="1"/>
  <c r="F27" i="68"/>
  <c r="AE8" i="1"/>
  <c r="AE12" i="1"/>
  <c r="AE10" i="1"/>
  <c r="C16" i="15"/>
  <c r="G1" i="73"/>
  <c r="C16" i="67"/>
  <c r="F41" i="67"/>
  <c r="C20" i="82" l="1"/>
  <c r="C26" i="82"/>
  <c r="Q61" i="15"/>
  <c r="C49" i="67"/>
  <c r="C53" i="82"/>
  <c r="C48" i="82" s="1"/>
  <c r="C10" i="82"/>
  <c r="C5" i="82" s="1"/>
  <c r="J24" i="82"/>
  <c r="J26" i="82"/>
  <c r="C29" i="69"/>
  <c r="D27" i="69" s="1"/>
  <c r="Q52" i="15"/>
  <c r="F1" i="15"/>
  <c r="C49" i="15"/>
  <c r="Q52" i="67"/>
  <c r="J5" i="15"/>
  <c r="J24" i="15" s="1"/>
  <c r="E105" i="3"/>
  <c r="E329" i="3"/>
  <c r="E370" i="3"/>
  <c r="E220" i="3"/>
  <c r="E356" i="3"/>
  <c r="E104" i="3"/>
  <c r="E497" i="3"/>
  <c r="E512" i="3"/>
  <c r="E534" i="3"/>
  <c r="E22" i="3"/>
  <c r="AF6" i="3"/>
  <c r="E522" i="3"/>
  <c r="E18" i="3"/>
  <c r="E391" i="3"/>
  <c r="E21" i="3"/>
  <c r="E63" i="3"/>
  <c r="E144" i="3"/>
  <c r="E310" i="3"/>
  <c r="E64" i="3"/>
  <c r="E544" i="3"/>
  <c r="E192" i="3"/>
  <c r="E435" i="3"/>
  <c r="E449" i="3"/>
  <c r="E286"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67" i="3"/>
  <c r="E300" i="3"/>
  <c r="E46" i="3"/>
  <c r="E409" i="3"/>
  <c r="E363" i="3"/>
  <c r="E152" i="3"/>
  <c r="E417" i="3"/>
  <c r="I3" i="6"/>
  <c r="E442" i="3"/>
  <c r="E212" i="3"/>
  <c r="Q74" i="67"/>
  <c r="J5" i="67"/>
  <c r="J24" i="67" s="1"/>
  <c r="Q73" i="67"/>
  <c r="E184" i="3"/>
  <c r="E84" i="3"/>
  <c r="E371" i="3"/>
  <c r="E160" i="3"/>
  <c r="E467" i="3"/>
  <c r="E59" i="3"/>
  <c r="E349" i="3"/>
  <c r="E258" i="3"/>
  <c r="E37" i="3"/>
  <c r="E491" i="3"/>
  <c r="AP6" i="3"/>
  <c r="AC6" i="3" s="1"/>
  <c r="E430" i="3"/>
  <c r="E499" i="3"/>
  <c r="E536" i="3"/>
  <c r="D36" i="71"/>
  <c r="T36" i="71"/>
  <c r="E541" i="3"/>
  <c r="R6" i="3"/>
  <c r="E199" i="3"/>
  <c r="C26" i="71"/>
  <c r="D26" i="71" s="1"/>
  <c r="D27" i="71"/>
  <c r="T40" i="71"/>
  <c r="D40" i="71"/>
  <c r="D56" i="71"/>
  <c r="T56" i="71"/>
  <c r="D26" i="43"/>
  <c r="C25" i="43" s="1"/>
  <c r="H6" i="3"/>
  <c r="E3" i="6"/>
  <c r="B40" i="1"/>
  <c r="F24" i="82"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15"/>
  <c r="AE7" i="1"/>
  <c r="F41" i="15"/>
  <c r="AE6" i="1"/>
  <c r="C48" i="67" l="1"/>
  <c r="C24" i="82"/>
  <c r="C23" i="82"/>
  <c r="C38" i="82"/>
  <c r="C66" i="82"/>
  <c r="C60" i="82"/>
  <c r="C48" i="15"/>
  <c r="C66" i="15" s="1"/>
  <c r="L36" i="43"/>
  <c r="L37" i="43" s="1"/>
  <c r="P37" i="43" s="1"/>
  <c r="L36" i="81"/>
  <c r="E6" i="3"/>
  <c r="B1" i="74"/>
  <c r="F22" i="68"/>
  <c r="C44" i="68" s="1"/>
  <c r="D41" i="68" s="1"/>
  <c r="D116" i="43"/>
  <c r="E49" i="34"/>
  <c r="I54" i="34" s="1"/>
  <c r="J54" i="34" s="1"/>
  <c r="F24" i="15"/>
  <c r="C24" i="15" s="1"/>
  <c r="F24" i="67"/>
  <c r="C24" i="67" s="1"/>
  <c r="F25" i="12"/>
  <c r="C26" i="12" s="1"/>
  <c r="D25" i="12" s="1"/>
  <c r="F22" i="69"/>
  <c r="F41" i="69" s="1"/>
  <c r="F22" i="11"/>
  <c r="C24" i="11" s="1"/>
  <c r="O3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9"/>
  <c r="C34" i="69"/>
  <c r="D10" i="68"/>
  <c r="F41" i="82"/>
  <c r="C14" i="67"/>
  <c r="C17" i="67"/>
  <c r="C17" i="15"/>
  <c r="F69" i="82" l="1"/>
  <c r="J29" i="82"/>
  <c r="C29" i="82"/>
  <c r="J14" i="82" s="1"/>
  <c r="C60" i="15"/>
  <c r="M37" i="43"/>
  <c r="Q36" i="43"/>
  <c r="C57" i="82"/>
  <c r="C64" i="82" s="1"/>
  <c r="C13" i="82"/>
  <c r="O37" i="43"/>
  <c r="N36" i="43"/>
  <c r="Q37" i="43"/>
  <c r="P36" i="43"/>
  <c r="N37" i="43"/>
  <c r="M36" i="43"/>
  <c r="L37" i="81"/>
  <c r="P36" i="81"/>
  <c r="Q36" i="81"/>
  <c r="O36" i="81"/>
  <c r="N36" i="81"/>
  <c r="M36" i="81"/>
  <c r="F41" i="68"/>
  <c r="H24" i="6"/>
  <c r="E54" i="34"/>
  <c r="F54" i="34" s="1"/>
  <c r="M19" i="9"/>
  <c r="C118" i="9" s="1"/>
  <c r="D30" i="6"/>
  <c r="C26" i="68"/>
  <c r="D22" i="68" s="1"/>
  <c r="H25" i="6"/>
  <c r="C26" i="11"/>
  <c r="D22" i="11" s="1"/>
  <c r="C23" i="11"/>
  <c r="C44" i="11"/>
  <c r="D41" i="11" s="1"/>
  <c r="C25" i="11"/>
  <c r="C44" i="69"/>
  <c r="D41" i="69" s="1"/>
  <c r="C26" i="69"/>
  <c r="D22" i="69" s="1"/>
  <c r="C16" i="71"/>
  <c r="D17" i="71"/>
  <c r="C18" i="67"/>
  <c r="C15" i="67"/>
  <c r="H23" i="6"/>
  <c r="R23" i="6" s="1"/>
  <c r="R10" i="1" s="1"/>
  <c r="C30" i="43"/>
  <c r="B2" i="43" s="1"/>
  <c r="C6" i="68"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J59" i="82" l="1"/>
  <c r="J60" i="82" s="1"/>
  <c r="C36" i="82"/>
  <c r="Q49" i="82"/>
  <c r="Q48" i="82"/>
  <c r="L46" i="82"/>
  <c r="C37" i="82"/>
  <c r="Q70" i="82"/>
  <c r="C56" i="82"/>
  <c r="C65" i="82" s="1"/>
  <c r="C75" i="82"/>
  <c r="J13" i="82"/>
  <c r="J23" i="82" s="1"/>
  <c r="J22" i="82"/>
  <c r="C18" i="12"/>
  <c r="P37" i="81"/>
  <c r="N37" i="81"/>
  <c r="Q37" i="81"/>
  <c r="O37" i="81"/>
  <c r="M37" i="81"/>
  <c r="D31" i="6"/>
  <c r="C14" i="74"/>
  <c r="B2" i="74" s="1"/>
  <c r="B3" i="43"/>
  <c r="C7" i="68"/>
  <c r="C5" i="68" s="1"/>
  <c r="C23" i="68" s="1"/>
  <c r="C22" i="11"/>
  <c r="C31" i="11" s="1"/>
  <c r="C15" i="71"/>
  <c r="T16" i="71"/>
  <c r="D16"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8" i="74" l="1"/>
  <c r="D7" i="74"/>
  <c r="U16" i="71"/>
  <c r="M23"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F35" i="67"/>
  <c r="M21" i="82"/>
  <c r="M21" i="67"/>
  <c r="F35" i="82"/>
  <c r="J20" i="82" l="1"/>
  <c r="J17" i="82" s="1"/>
  <c r="J16" i="82" s="1"/>
  <c r="J25" i="82" s="1"/>
  <c r="C34" i="82"/>
  <c r="C31" i="82" s="1"/>
  <c r="C30" i="82" s="1"/>
  <c r="C39" i="82" s="1"/>
  <c r="F63" i="82"/>
  <c r="C62" i="82" s="1"/>
  <c r="C59" i="82" s="1"/>
  <c r="C58" i="82" s="1"/>
  <c r="C67" i="82" s="1"/>
  <c r="C68" i="82" s="1"/>
  <c r="C71"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L51" i="82"/>
  <c r="Q67" i="82" l="1"/>
  <c r="I39" i="82"/>
  <c r="C80" i="82"/>
  <c r="C79" i="82" s="1"/>
  <c r="Q69" i="82"/>
  <c r="Q68" i="82" s="1"/>
  <c r="C40" i="82"/>
  <c r="C46" i="82" s="1"/>
  <c r="C102" i="9"/>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2" i="21"/>
  <c r="D34" i="9"/>
  <c r="Q47" i="82" l="1"/>
  <c r="Q53" i="82" s="1"/>
  <c r="C43" i="82"/>
  <c r="B2" i="82"/>
  <c r="B3" i="82" s="1"/>
  <c r="Q56" i="82"/>
  <c r="Q62" i="82" s="1"/>
  <c r="Q65" i="82"/>
  <c r="Q75" i="82" s="1"/>
  <c r="C83" i="82"/>
  <c r="C82" i="82" s="1"/>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12" i="1"/>
  <c r="AO8" i="1"/>
  <c r="C7" i="71" l="1"/>
  <c r="D8"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B7" i="70" l="1"/>
  <c r="B6" i="70"/>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G19" i="9" l="1"/>
  <c r="G21" i="9" s="1"/>
  <c r="D102" i="9"/>
  <c r="D21" i="9"/>
  <c r="D22" i="9"/>
  <c r="B3" i="70"/>
  <c r="D6" i="71"/>
  <c r="C5" i="71"/>
  <c r="D5" i="71" s="1"/>
  <c r="M24" i="43" s="1"/>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119" i="9" s="1"/>
  <c r="D5" i="52" s="1"/>
  <c r="B49" i="72" s="1"/>
  <c r="H118" i="9"/>
  <c r="H4" i="52" l="1"/>
  <c r="D14" i="74"/>
  <c r="G14" i="74" s="1"/>
  <c r="B6" i="74" s="1"/>
  <c r="D6" i="74" s="1"/>
  <c r="I118" i="9"/>
  <c r="C105" i="9" s="1"/>
  <c r="D4" i="52"/>
  <c r="B47" i="72" s="1"/>
  <c r="F119" i="9"/>
  <c r="F5" i="52" s="1"/>
  <c r="B53" i="72" s="1"/>
  <c r="G118" i="9"/>
  <c r="G4" i="52" s="1"/>
  <c r="B52" i="72" s="1"/>
  <c r="C104" i="9"/>
  <c r="H101" i="9"/>
  <c r="H119" i="9"/>
  <c r="H5" i="52" s="1"/>
  <c r="H102" i="9" l="1"/>
  <c r="I4" i="52"/>
  <c r="E14" i="74"/>
  <c r="F14" i="74"/>
  <c r="B5" i="74"/>
  <c r="D5" i="74" s="1"/>
  <c r="E118" i="9"/>
  <c r="E4" i="52" s="1"/>
  <c r="B48" i="72" s="1"/>
  <c r="C5" i="74"/>
  <c r="D7" i="53"/>
  <c r="B21" i="72" s="1"/>
  <c r="D5" i="53"/>
  <c r="H107" i="9"/>
  <c r="D45" i="9"/>
  <c r="M48" i="9"/>
  <c r="B20" i="72" l="1"/>
  <c r="D6" i="53"/>
  <c r="B22" i="72" s="1"/>
  <c r="D53" i="9"/>
  <c r="C93" i="9"/>
  <c r="C86" i="9" s="1"/>
  <c r="C85" i="9"/>
  <c r="D52" i="9"/>
  <c r="D55" i="9"/>
  <c r="M53" i="9" s="1"/>
  <c r="C72" i="9"/>
  <c r="C64" i="9"/>
  <c r="C63" i="9" s="1"/>
  <c r="C67" i="9" s="1"/>
  <c r="C78" i="9"/>
  <c r="C73" i="9" s="1"/>
  <c r="D122" i="9"/>
  <c r="H108" i="9"/>
  <c r="D13" i="53"/>
  <c r="C79" i="9" l="1"/>
  <c r="C80" i="9" s="1"/>
  <c r="E80" i="9" s="1"/>
  <c r="E81" i="9" s="1"/>
  <c r="C6" i="74"/>
  <c r="D15" i="53"/>
  <c r="B31" i="72" s="1"/>
  <c r="D123" i="9"/>
  <c r="D9" i="52" s="1"/>
  <c r="D8" i="52"/>
  <c r="D14" i="53"/>
  <c r="B32" i="72" s="1"/>
  <c r="B30" i="72"/>
  <c r="C68" i="9"/>
  <c r="D54" i="9" s="1"/>
  <c r="D59" i="9"/>
  <c r="M55" i="9" s="1"/>
  <c r="C95" i="9"/>
  <c r="C96" i="9" l="1"/>
  <c r="E96" i="9" s="1"/>
  <c r="E97" i="9" s="1"/>
  <c r="C81" i="9"/>
  <c r="C97" i="9" l="1"/>
  <c r="D58" i="9" s="1"/>
  <c r="D56" i="9" s="1"/>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1D66A3D-26A5-47D9-8B3B-532F6B5711F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BD3BE1B-9E6F-4065-9135-25AB23F7564E}">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3234180-CCA1-490D-95E7-F52DF5989B2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FBFB6C9-9FA3-4103-9243-64CD662EA117}">
      <text>
        <r>
          <rPr>
            <sz val="11"/>
            <color indexed="81"/>
            <rFont val="宋体"/>
            <family val="3"/>
            <charset val="134"/>
          </rPr>
          <t>在建项目均选择“是”</t>
        </r>
      </text>
    </comment>
    <comment ref="F59" authorId="1" shapeId="0" xr:uid="{2BCD8D92-75AC-44B7-BEDB-82B40F509BB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45CC917-CE5A-454E-9D36-DE8109020529}">
      <text>
        <r>
          <rPr>
            <sz val="10"/>
            <color indexed="81"/>
            <rFont val="宋体"/>
            <family val="3"/>
            <charset val="134"/>
          </rPr>
          <t xml:space="preserve">在建
</t>
        </r>
      </text>
    </comment>
    <comment ref="N59" authorId="0" shapeId="0" xr:uid="{81997E06-0742-4E8F-AE8A-CBA241C69B42}">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891DE867-B15A-42CC-B256-C496F2AB726D}">
      <text>
        <r>
          <rPr>
            <b/>
            <sz val="9"/>
            <color indexed="81"/>
            <rFont val="宋体"/>
            <family val="3"/>
            <charset val="134"/>
          </rPr>
          <t>对应区片地价表</t>
        </r>
        <r>
          <rPr>
            <sz val="9"/>
            <color indexed="81"/>
            <rFont val="宋体"/>
            <family val="3"/>
            <charset val="134"/>
          </rPr>
          <t xml:space="preserve">
</t>
        </r>
      </text>
    </comment>
    <comment ref="Y9" authorId="1" shapeId="0" xr:uid="{6563A351-7BF8-4614-B8B0-6E23619C4225}">
      <text>
        <r>
          <rPr>
            <sz val="11"/>
            <color indexed="81"/>
            <rFont val="宋体"/>
            <family val="3"/>
            <charset val="134"/>
          </rPr>
          <t xml:space="preserve">录入层数，将对应的结果录入至左侧相应层的楼层修正系数单元格中
</t>
        </r>
      </text>
    </comment>
    <comment ref="C16" authorId="1" shapeId="0" xr:uid="{572B1E0F-29E9-47D8-A891-6446A21F9AB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7C75D661-117C-4A2D-9EF0-7C05A97D547C}">
      <text>
        <r>
          <rPr>
            <sz val="12"/>
            <color indexed="81"/>
            <rFont val="宋体"/>
            <family val="3"/>
            <charset val="134"/>
          </rPr>
          <t>1.05~1.1</t>
        </r>
        <r>
          <rPr>
            <sz val="9"/>
            <color indexed="81"/>
            <rFont val="宋体"/>
            <family val="3"/>
            <charset val="134"/>
          </rPr>
          <t xml:space="preserve">
</t>
        </r>
      </text>
    </comment>
    <comment ref="E16" authorId="1" shapeId="0" xr:uid="{E93A707C-8870-4134-B849-B6427AB8FBC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7D69F6A-87F2-43A6-BD38-424E597B906D}">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6A6855AC-D740-4703-BE32-35A270E55507}">
      <text>
        <r>
          <rPr>
            <b/>
            <sz val="14"/>
            <color indexed="81"/>
            <rFont val="宋体"/>
            <family val="3"/>
            <charset val="134"/>
          </rPr>
          <t>工业选“中心城区”</t>
        </r>
        <r>
          <rPr>
            <sz val="9"/>
            <color indexed="81"/>
            <rFont val="宋体"/>
            <family val="3"/>
            <charset val="134"/>
          </rPr>
          <t xml:space="preserve">
</t>
        </r>
      </text>
    </comment>
    <comment ref="B35" authorId="4" shapeId="0" xr:uid="{8F5B46CE-2B20-4B44-BFE5-854D9A09731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B1A983AC-12EC-477E-8676-0EA6C7B17E67}">
      <text>
        <r>
          <rPr>
            <sz val="9"/>
            <color indexed="81"/>
            <rFont val="宋体"/>
            <family val="3"/>
            <charset val="134"/>
          </rPr>
          <t xml:space="preserve">需在此处填写剩余土地年限
</t>
        </r>
      </text>
    </comment>
    <comment ref="C111" authorId="0" shapeId="0" xr:uid="{E6F6AFDC-7E73-4398-84E9-B595A4E57366}">
      <text>
        <r>
          <rPr>
            <b/>
            <sz val="9"/>
            <color indexed="81"/>
            <rFont val="宋体"/>
            <family val="3"/>
            <charset val="134"/>
          </rPr>
          <t xml:space="preserve">所在楼层
</t>
        </r>
        <r>
          <rPr>
            <sz val="9"/>
            <color indexed="81"/>
            <rFont val="宋体"/>
            <family val="3"/>
            <charset val="134"/>
          </rPr>
          <t xml:space="preserve">
</t>
        </r>
      </text>
    </comment>
    <comment ref="D111" authorId="0" shapeId="0" xr:uid="{41CCEC4B-7D05-43D1-93FE-F2BCBC84F599}">
      <text>
        <r>
          <rPr>
            <b/>
            <sz val="9"/>
            <color indexed="81"/>
            <rFont val="宋体"/>
            <family val="3"/>
            <charset val="134"/>
          </rPr>
          <t xml:space="preserve">所在楼层
</t>
        </r>
        <r>
          <rPr>
            <sz val="9"/>
            <color indexed="81"/>
            <rFont val="宋体"/>
            <family val="3"/>
            <charset val="134"/>
          </rPr>
          <t xml:space="preserve">
</t>
        </r>
      </text>
    </comment>
    <comment ref="E111" authorId="0" shapeId="0" xr:uid="{E3F60ACB-CA67-43C2-9A7F-1110A22F3D33}">
      <text>
        <r>
          <rPr>
            <b/>
            <sz val="9"/>
            <color indexed="81"/>
            <rFont val="宋体"/>
            <family val="3"/>
            <charset val="134"/>
          </rPr>
          <t xml:space="preserve">所在楼层
</t>
        </r>
        <r>
          <rPr>
            <sz val="9"/>
            <color indexed="81"/>
            <rFont val="宋体"/>
            <family val="3"/>
            <charset val="134"/>
          </rPr>
          <t xml:space="preserve">
</t>
        </r>
      </text>
    </comment>
    <comment ref="F111" authorId="0" shapeId="0" xr:uid="{6714E348-0575-44C4-9393-A7181FE53028}">
      <text>
        <r>
          <rPr>
            <b/>
            <sz val="9"/>
            <color indexed="81"/>
            <rFont val="宋体"/>
            <family val="3"/>
            <charset val="134"/>
          </rPr>
          <t xml:space="preserve">所在楼层
</t>
        </r>
        <r>
          <rPr>
            <sz val="9"/>
            <color indexed="81"/>
            <rFont val="宋体"/>
            <family val="3"/>
            <charset val="134"/>
          </rPr>
          <t xml:space="preserve">
</t>
        </r>
      </text>
    </comment>
    <comment ref="G111" authorId="0" shapeId="0" xr:uid="{29156659-F775-421D-8028-7002AF537C06}">
      <text>
        <r>
          <rPr>
            <b/>
            <sz val="9"/>
            <color indexed="81"/>
            <rFont val="宋体"/>
            <family val="3"/>
            <charset val="134"/>
          </rPr>
          <t xml:space="preserve">所在楼层
</t>
        </r>
        <r>
          <rPr>
            <sz val="9"/>
            <color indexed="81"/>
            <rFont val="宋体"/>
            <family val="3"/>
            <charset val="134"/>
          </rPr>
          <t xml:space="preserve">
</t>
        </r>
      </text>
    </comment>
    <comment ref="H111" authorId="0" shapeId="0" xr:uid="{69AE79AE-3B5E-4124-A4FC-63A058ABF303}">
      <text>
        <r>
          <rPr>
            <b/>
            <sz val="9"/>
            <color indexed="81"/>
            <rFont val="宋体"/>
            <family val="3"/>
            <charset val="134"/>
          </rPr>
          <t xml:space="preserve">所在楼层
</t>
        </r>
        <r>
          <rPr>
            <sz val="9"/>
            <color indexed="81"/>
            <rFont val="宋体"/>
            <family val="3"/>
            <charset val="134"/>
          </rPr>
          <t xml:space="preserve">
</t>
        </r>
      </text>
    </comment>
    <comment ref="I111" authorId="0" shapeId="0" xr:uid="{6C004E75-C2AF-4BDD-939E-5C7919FD7603}">
      <text>
        <r>
          <rPr>
            <b/>
            <sz val="9"/>
            <color indexed="81"/>
            <rFont val="宋体"/>
            <family val="3"/>
            <charset val="134"/>
          </rPr>
          <t xml:space="preserve">所在楼层
</t>
        </r>
        <r>
          <rPr>
            <sz val="9"/>
            <color indexed="81"/>
            <rFont val="宋体"/>
            <family val="3"/>
            <charset val="134"/>
          </rPr>
          <t xml:space="preserve">
</t>
        </r>
      </text>
    </comment>
    <comment ref="J111" authorId="0" shapeId="0" xr:uid="{02C051E2-6123-43CA-9422-C33568F607A7}">
      <text>
        <r>
          <rPr>
            <b/>
            <sz val="9"/>
            <color indexed="81"/>
            <rFont val="宋体"/>
            <family val="3"/>
            <charset val="134"/>
          </rPr>
          <t xml:space="preserve">所在楼层
</t>
        </r>
        <r>
          <rPr>
            <sz val="9"/>
            <color indexed="81"/>
            <rFont val="宋体"/>
            <family val="3"/>
            <charset val="134"/>
          </rPr>
          <t xml:space="preserve">
</t>
        </r>
      </text>
    </comment>
    <comment ref="K111" authorId="0" shapeId="0" xr:uid="{FECC5063-1D94-4BD4-A1E5-836788AC9B24}">
      <text>
        <r>
          <rPr>
            <b/>
            <sz val="9"/>
            <color indexed="81"/>
            <rFont val="宋体"/>
            <family val="3"/>
            <charset val="134"/>
          </rPr>
          <t xml:space="preserve">所在楼层
</t>
        </r>
        <r>
          <rPr>
            <sz val="9"/>
            <color indexed="81"/>
            <rFont val="宋体"/>
            <family val="3"/>
            <charset val="134"/>
          </rPr>
          <t xml:space="preserve">
</t>
        </r>
      </text>
    </comment>
    <comment ref="L111" authorId="0" shapeId="0" xr:uid="{10EB3FFC-4B04-40DB-BB5B-9CD9CC8DAC7A}">
      <text>
        <r>
          <rPr>
            <b/>
            <sz val="9"/>
            <color indexed="81"/>
            <rFont val="宋体"/>
            <family val="3"/>
            <charset val="134"/>
          </rPr>
          <t xml:space="preserve">所在楼层
</t>
        </r>
        <r>
          <rPr>
            <sz val="9"/>
            <color indexed="81"/>
            <rFont val="宋体"/>
            <family val="3"/>
            <charset val="134"/>
          </rPr>
          <t xml:space="preserve">
</t>
        </r>
      </text>
    </comment>
    <comment ref="M111" authorId="0" shapeId="0" xr:uid="{FD13787B-A4D9-422F-9A6E-35EE9B703D51}">
      <text>
        <r>
          <rPr>
            <b/>
            <sz val="9"/>
            <color indexed="81"/>
            <rFont val="宋体"/>
            <family val="3"/>
            <charset val="134"/>
          </rPr>
          <t xml:space="preserve">所在楼层
</t>
        </r>
        <r>
          <rPr>
            <sz val="9"/>
            <color indexed="81"/>
            <rFont val="宋体"/>
            <family val="3"/>
            <charset val="134"/>
          </rPr>
          <t xml:space="preserve">
</t>
        </r>
      </text>
    </comment>
    <comment ref="N111" authorId="0" shapeId="0" xr:uid="{C3421BE8-3E5B-47F4-B836-5CDD17E4A093}">
      <text>
        <r>
          <rPr>
            <b/>
            <sz val="9"/>
            <color indexed="81"/>
            <rFont val="宋体"/>
            <family val="3"/>
            <charset val="134"/>
          </rPr>
          <t xml:space="preserve">所在楼层
</t>
        </r>
        <r>
          <rPr>
            <sz val="9"/>
            <color indexed="81"/>
            <rFont val="宋体"/>
            <family val="3"/>
            <charset val="134"/>
          </rPr>
          <t xml:space="preserve">
</t>
        </r>
      </text>
    </comment>
    <comment ref="D116" authorId="0" shapeId="0" xr:uid="{3F1FAAF0-DBD5-487A-A773-EEAB20540908}">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<sst xmlns="http://schemas.openxmlformats.org/spreadsheetml/2006/main" count="8567" uniqueCount="3417">
  <si>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</si>
  <si>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</si>
  <si>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</si>
  <si>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</si>
  <si>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</si>
  <si>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</si>
  <si>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</si>
  <si>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</si>
  <si>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</si>
  <si>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</si>
  <si>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</si>
  <si>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</si>
  <si>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</si>
  <si>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</si>
  <si>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</si>
  <si>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</si>
  <si>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</si>
  <si>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</si>
  <si>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</si>
  <si>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</si>
  <si>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</si>
  <si>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</si>
  <si>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</si>
  <si>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</si>
  <si>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</si>
  <si>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</si>
  <si>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</si>
  <si>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</si>
  <si>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</si>
  <si>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</si>
  <si>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</si>
  <si>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</si>
  <si>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</si>
  <si>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</si>
  <si>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</si>
  <si>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</si>
  <si>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</si>
  <si>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</si>
  <si>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</si>
  <si>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</si>
  <si>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</si>
  <si>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</si>
  <si>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</si>
  <si>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</si>
  <si>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</si>
  <si>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</si>
  <si>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</si>
  <si>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</si>
  <si>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</si>
  <si>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</si>
  <si>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</si>
  <si>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</si>
  <si>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</si>
  <si>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</si>
  <si>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</si>
  <si>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</si>
  <si>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</si>
  <si>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</si>
  <si>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</si>
  <si>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</si>
  <si>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</si>
  <si>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</si>
  <si>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</si>
  <si>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</si>
  <si>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</si>
  <si>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</si>
  <si>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</si>
  <si>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</si>
  <si>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</si>
  <si>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</si>
  <si>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</si>
  <si>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</si>
  <si>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</si>
  <si>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</si>
  <si>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</si>
  <si>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</si>
  <si>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</si>
  <si>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</si>
  <si>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</si>
  <si>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</si>
  <si>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</si>
  <si>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</si>
  <si>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</si>
  <si>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</si>
  <si>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</si>
  <si>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</si>
  <si>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</si>
  <si>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</si>
  <si>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</si>
  <si>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</si>
  <si>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</si>
  <si>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</si>
  <si>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</si>
  <si>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</si>
  <si>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</si>
  <si>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</si>
  <si>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</si>
  <si>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</si>
  <si>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</si>
  <si>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</si>
  <si>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</si>
  <si>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</si>
  <si>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</si>
  <si>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</si>
  <si>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</si>
  <si>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</si>
  <si>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</si>
  <si>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</si>
  <si>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</si>
  <si>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</si>
  <si>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</si>
  <si>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</si>
  <si>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</si>
  <si>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</si>
  <si>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</si>
  <si>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</si>
  <si>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</si>
  <si>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</si>
  <si>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</si>
  <si>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</si>
  <si>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</si>
  <si>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</si>
  <si>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</si>
  <si>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</si>
  <si>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</si>
  <si>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</si>
  <si>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</si>
  <si>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</si>
  <si>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</si>
  <si>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</si>
  <si>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</si>
  <si>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</si>
  <si>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</si>
  <si>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</si>
  <si>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</si>
  <si>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</si>
  <si>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</si>
  <si>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</si>
  <si>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</si>
  <si>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</si>
  <si>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</si>
  <si>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</si>
  <si>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</si>
  <si>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</si>
  <si>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</si>
  <si>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</si>
  <si>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</si>
  <si>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</si>
  <si>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</si>
  <si>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</si>
  <si>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</si>
  <si>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</si>
  <si>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</si>
  <si>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</si>
  <si>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</si>
  <si>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</si>
  <si>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</si>
  <si>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</si>
  <si>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</si>
  <si>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</si>
  <si>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</si>
  <si>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</si>
  <si>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</si>
  <si>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</si>
  <si>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</si>
  <si>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</si>
  <si>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</si>
  <si>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</si>
  <si>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</si>
  <si>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</si>
  <si>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</si>
  <si>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</si>
  <si>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</si>
  <si>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</si>
  <si>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</si>
  <si>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</si>
  <si>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</si>
  <si>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</si>
  <si>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</si>
  <si>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</si>
  <si>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</si>
  <si>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</si>
  <si>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</si>
  <si>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</si>
  <si>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</si>
  <si>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</si>
  <si>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</si>
  <si>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</si>
  <si>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</si>
  <si>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</si>
  <si>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</si>
  <si>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</si>
  <si>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</si>
  <si>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</si>
  <si>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</si>
  <si>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</si>
  <si>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</si>
  <si>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</si>
  <si>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</si>
  <si>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</si>
  <si>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</si>
  <si>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</si>
  <si>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</si>
  <si>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</si>
  <si>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</si>
  <si>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</si>
  <si>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</si>
  <si>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</si>
  <si>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</si>
  <si>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</si>
  <si>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</si>
  <si>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</si>
  <si>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</si>
  <si>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</si>
  <si>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</si>
  <si>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</si>
  <si>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</si>
  <si>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</si>
  <si>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</si>
  <si>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</si>
  <si>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</si>
  <si>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</si>
  <si>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</si>
  <si>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</si>
  <si>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</si>
  <si>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</si>
  <si>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</si>
  <si>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</si>
  <si>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</si>
  <si>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</si>
  <si>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</si>
  <si>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</si>
  <si>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</si>
  <si>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</si>
  <si>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</si>
  <si>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</si>
  <si>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</si>
  <si>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</si>
  <si>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</si>
  <si>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</si>
  <si>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</si>
  <si>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</si>
  <si>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</si>
  <si>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</si>
  <si>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</si>
  <si>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</si>
  <si>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</si>
  <si>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</si>
  <si>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</si>
  <si>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</si>
  <si>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</si>
  <si>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</si>
  <si>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</si>
  <si>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</si>
  <si>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</si>
  <si>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</si>
  <si>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</si>
  <si>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</si>
  <si>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</si>
  <si>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</si>
  <si>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</si>
  <si>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</si>
  <si>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</si>
  <si>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</si>
  <si>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</si>
  <si>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</si>
  <si>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</si>
  <si>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</si>
  <si>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</si>
  <si>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</si>
  <si>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</si>
  <si>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</si>
  <si>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</si>
  <si>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</si>
  <si>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</si>
  <si>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</si>
  <si>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</si>
  <si>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</si>
  <si>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</si>
  <si>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</si>
  <si>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</si>
  <si>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</si>
  <si>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</si>
  <si>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</si>
  <si>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</si>
  <si>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</si>
  <si>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</si>
  <si>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</si>
  <si>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</si>
  <si>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</si>
  <si>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</si>
  <si>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</si>
  <si>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</si>
  <si>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</si>
  <si>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</si>
  <si>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</si>
  <si>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</si>
  <si>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</si>
  <si>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</si>
  <si>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</si>
  <si>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</si>
  <si>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</si>
  <si>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</si>
  <si>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</si>
  <si>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</si>
  <si>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</si>
  <si>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</si>
  <si>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</si>
  <si>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</si>
  <si>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</si>
  <si>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</si>
  <si>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</si>
  <si>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</si>
  <si>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</si>
  <si>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</si>
  <si>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</si>
  <si>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</si>
  <si>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</si>
  <si>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</si>
  <si>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</si>
  <si>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</si>
  <si>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</si>
  <si>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</si>
  <si>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</si>
  <si>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</si>
  <si>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</si>
  <si>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</si>
  <si>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</si>
  <si>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</si>
  <si>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</si>
  <si>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</si>
  <si>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</si>
  <si>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</si>
  <si>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</si>
  <si>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</si>
  <si>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</si>
  <si>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</si>
  <si>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</si>
  <si>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</si>
  <si>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</si>
  <si>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</si>
  <si>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</si>
  <si>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</si>
  <si>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</si>
  <si>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</si>
  <si>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</si>
  <si>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</si>
  <si>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</si>
  <si>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</si>
  <si>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</si>
  <si>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</si>
  <si>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</si>
  <si>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</si>
  <si>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</si>
  <si>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</si>
  <si>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</si>
  <si>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</si>
  <si>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</si>
  <si>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</si>
  <si>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</si>
  <si>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</si>
  <si>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</si>
  <si>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</si>
  <si>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</si>
  <si>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</si>
  <si>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</si>
  <si>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</si>
  <si>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</si>
  <si>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</si>
  <si>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</si>
  <si>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</si>
  <si>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</si>
  <si>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</si>
  <si>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</si>
  <si>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</si>
  <si>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</si>
  <si>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</si>
  <si>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</si>
  <si>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</si>
  <si>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</si>
  <si>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</si>
  <si>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</si>
  <si>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</si>
  <si>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</si>
  <si>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</si>
  <si>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</si>
  <si>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</si>
  <si>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</si>
  <si>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</si>
  <si>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</si>
  <si>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</si>
  <si>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</si>
  <si>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</si>
  <si>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</si>
  <si>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</si>
  <si>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</si>
  <si>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</si>
  <si>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</si>
  <si>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</si>
  <si>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</si>
  <si>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</si>
  <si>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</si>
  <si>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</si>
  <si>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</si>
  <si>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</si>
  <si>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</si>
  <si>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</si>
  <si>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</si>
  <si>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</si>
  <si>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</si>
  <si>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</si>
  <si>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</si>
  <si>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</si>
  <si>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</si>
  <si>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</si>
  <si>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</si>
  <si>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</si>
  <si>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</si>
  <si>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</si>
  <si>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</si>
  <si>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</si>
  <si>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</si>
  <si>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</si>
  <si>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</si>
  <si>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</si>
  <si>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</si>
  <si>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</si>
  <si>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</si>
  <si>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</si>
  <si>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</si>
  <si>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</si>
  <si>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</si>
  <si>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</si>
  <si>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</si>
  <si>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</si>
  <si>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</si>
  <si>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</si>
  <si>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</si>
  <si>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</si>
  <si>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</si>
  <si>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</si>
  <si>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</si>
  <si>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</si>
  <si>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</si>
  <si>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</si>
  <si>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</si>
  <si>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</si>
  <si>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</si>
  <si>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</si>
  <si>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</si>
  <si>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</si>
  <si>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</si>
  <si>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</si>
  <si>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</si>
  <si>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</si>
  <si>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</si>
  <si>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</si>
  <si>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</si>
  <si>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</si>
  <si>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</si>
  <si>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</si>
  <si>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</si>
  <si>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</si>
  <si>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</si>
  <si>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</si>
  <si>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</si>
  <si>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</si>
  <si>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</si>
  <si>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</si>
  <si>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</si>
  <si>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</si>
  <si>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</si>
  <si>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</si>
  <si>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</si>
  <si>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</si>
  <si>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</si>
  <si>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</si>
  <si>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</si>
  <si>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</si>
  <si>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</si>
  <si>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</si>
  <si>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</si>
  <si>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</si>
  <si>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</si>
  <si>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</si>
  <si>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</si>
  <si>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</si>
  <si>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</si>
  <si>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</si>
  <si>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</si>
  <si>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</si>
  <si>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</si>
  <si>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</si>
  <si>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</si>
  <si>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</si>
  <si>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</si>
  <si>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</si>
  <si>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</si>
  <si>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</si>
  <si>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</si>
  <si>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</si>
  <si>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</si>
  <si>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</si>
  <si>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</si>
  <si>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</si>
  <si>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</si>
  <si>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</si>
  <si>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</si>
  <si>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</si>
  <si>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</si>
  <si>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</si>
  <si>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</si>
  <si>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</si>
  <si>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</si>
  <si>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</si>
  <si>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</si>
  <si>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</si>
  <si>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</si>
  <si>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</si>
  <si>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</si>
  <si>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</si>
  <si>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</si>
  <si>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</si>
  <si>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</si>
  <si>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</si>
  <si>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</si>
  <si>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</si>
  <si>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</si>
  <si>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</si>
  <si>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</si>
  <si>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</si>
  <si>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</si>
  <si>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</si>
  <si>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</si>
  <si>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</si>
  <si>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</si>
  <si>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</si>
  <si>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</si>
  <si>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</si>
  <si>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</si>
  <si>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</si>
  <si>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</si>
  <si>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</si>
  <si>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</si>
  <si>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</si>
  <si>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</si>
  <si>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</si>
  <si>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</si>
  <si>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</si>
  <si>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</si>
  <si>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</si>
  <si>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</si>
  <si>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</si>
  <si>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</si>
  <si>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</si>
  <si>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</si>
  <si>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</si>
  <si>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</si>
  <si>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</si>
  <si>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</si>
  <si>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</si>
  <si>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</si>
  <si>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</si>
  <si>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</si>
  <si>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</si>
  <si>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</si>
  <si>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</si>
  <si>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</si>
  <si>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</si>
  <si>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</si>
  <si>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</si>
  <si>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</si>
  <si>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</si>
  <si>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</si>
  <si>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</si>
  <si>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</si>
  <si>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</si>
  <si>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</si>
  <si>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</si>
  <si>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</si>
  <si>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</si>
  <si>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</si>
  <si>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</si>
  <si>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</si>
  <si>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</si>
  <si>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</si>
  <si>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</si>
  <si>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</si>
  <si>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</si>
  <si>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</si>
  <si>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</si>
  <si>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</si>
  <si>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</si>
  <si>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</si>
  <si>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</si>
  <si>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</si>
  <si>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</si>
  <si>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</si>
  <si>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</si>
  <si>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</si>
  <si>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</si>
  <si>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</si>
  <si>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</si>
  <si>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</si>
  <si>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</si>
  <si>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</si>
  <si>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</si>
  <si>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</si>
  <si>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</si>
  <si>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</si>
  <si>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</si>
  <si>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</si>
  <si>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</si>
  <si>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</si>
  <si>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</si>
  <si>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</si>
  <si>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</si>
  <si>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</si>
  <si>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</si>
  <si>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</si>
  <si>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</si>
  <si>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</si>
  <si>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</si>
  <si>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</si>
  <si>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</si>
  <si>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</si>
  <si>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</si>
  <si>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</si>
  <si>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</si>
  <si>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</si>
  <si>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</si>
  <si>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</si>
  <si>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</si>
  <si>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</si>
  <si>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</si>
  <si>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</si>
  <si>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</si>
  <si>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</si>
  <si>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</si>
  <si>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</si>
  <si>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</si>
  <si>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</si>
  <si>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</si>
  <si>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</si>
  <si>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</si>
  <si>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</si>
  <si>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</si>
  <si>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</si>
  <si>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</si>
  <si>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</si>
  <si>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</si>
  <si>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</si>
  <si>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</si>
  <si>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</si>
  <si>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</si>
  <si>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</si>
  <si>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</si>
  <si>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</si>
  <si>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</si>
  <si>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</si>
  <si>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</si>
  <si>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</si>
  <si>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</si>
  <si>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</si>
  <si>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</si>
  <si>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</si>
  <si>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</si>
  <si>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</si>
  <si>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</si>
  <si>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</si>
  <si>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</si>
  <si>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</si>
  <si>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</si>
  <si>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</si>
  <si>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</si>
  <si>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</si>
  <si>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</si>
  <si>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</si>
  <si>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</si>
  <si>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</si>
  <si>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</si>
  <si>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</si>
  <si>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</si>
  <si>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</si>
  <si>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</si>
  <si>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</si>
  <si>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</si>
  <si>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</si>
  <si>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</si>
  <si>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</si>
  <si>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</si>
  <si>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</si>
  <si>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</si>
  <si>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</si>
  <si>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</si>
  <si>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</si>
  <si>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</si>
  <si>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</si>
  <si>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</si>
  <si>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</si>
  <si>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</si>
  <si>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</si>
  <si>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</si>
  <si>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</si>
  <si>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</si>
  <si>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</si>
  <si>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</si>
  <si>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</si>
  <si>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</si>
  <si>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</si>
  <si>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</si>
  <si>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</si>
  <si>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</si>
  <si>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</si>
  <si>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</si>
  <si>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</si>
  <si>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</si>
  <si>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</si>
  <si>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</si>
  <si>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</si>
  <si>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</si>
  <si>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</si>
  <si>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</si>
  <si>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</si>
  <si>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</si>
  <si>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</si>
  <si>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</si>
  <si>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</si>
  <si>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</si>
  <si>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</si>
  <si>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</si>
  <si>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</si>
  <si>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</si>
  <si>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</si>
  <si>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</si>
  <si>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</si>
  <si>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</si>
  <si>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</si>
  <si>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</si>
  <si>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</si>
  <si>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</si>
  <si>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</si>
  <si>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</si>
  <si>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</si>
  <si>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</si>
  <si>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</si>
  <si>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</si>
  <si>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</si>
  <si>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</si>
  <si>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</si>
  <si>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</si>
  <si>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</si>
  <si>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</si>
  <si>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</si>
  <si>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</si>
  <si>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</si>
  <si>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</si>
  <si>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</si>
  <si>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</si>
  <si>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</si>
  <si>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</si>
  <si>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</si>
  <si>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</si>
  <si>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</si>
  <si>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</si>
  <si>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</si>
  <si>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</si>
  <si>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</si>
  <si>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</si>
  <si>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</si>
  <si>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</si>
  <si>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</si>
  <si>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</si>
  <si>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</si>
  <si>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</si>
  <si>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</si>
  <si>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</si>
  <si>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</si>
  <si>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</si>
  <si>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</si>
  <si>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</si>
  <si>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</si>
  <si>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</si>
  <si>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</si>
  <si>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</si>
  <si>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</si>
  <si>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</si>
  <si>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</si>
  <si>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</si>
  <si>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</si>
  <si>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</si>
  <si>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</si>
  <si>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</si>
  <si>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</si>
  <si>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</si>
  <si>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</si>
  <si>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</si>
  <si>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</si>
  <si>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</si>
  <si>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</si>
  <si>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</si>
  <si>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</si>
  <si>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</si>
  <si>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</si>
  <si>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</si>
  <si>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</si>
  <si>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</si>
  <si>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</si>
  <si>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</si>
  <si>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</si>
  <si>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</si>
  <si>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</si>
  <si>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</si>
  <si>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</si>
  <si>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</si>
  <si>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</si>
  <si>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</si>
  <si>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</si>
  <si>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</si>
  <si>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</si>
  <si>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</si>
  <si>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</si>
  <si>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</si>
  <si>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</si>
  <si>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</si>
  <si>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</si>
  <si>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</si>
  <si>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</si>
  <si>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</si>
  <si>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</si>
  <si>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</si>
  <si>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</si>
  <si>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</si>
  <si>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</si>
  <si>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</si>
  <si>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</si>
  <si>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</si>
  <si>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</si>
  <si>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</si>
  <si>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</si>
  <si>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</si>
  <si>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</si>
  <si>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</si>
  <si>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</si>
  <si>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</si>
  <si>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</si>
  <si>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</si>
  <si>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</si>
  <si>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</si>
  <si>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</si>
  <si>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</si>
  <si>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</si>
  <si>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</si>
  <si>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</si>
  <si>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</si>
  <si>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</si>
  <si>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</si>
  <si>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</si>
  <si>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</si>
  <si>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</si>
  <si>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</si>
  <si>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</si>
  <si>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</si>
  <si>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</si>
  <si>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</si>
  <si>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</si>
  <si>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</si>
  <si>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</si>
  <si>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</si>
  <si>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</si>
  <si>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</si>
  <si>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</si>
  <si>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</si>
  <si>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</si>
  <si>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</si>
  <si>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</si>
  <si>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</si>
  <si>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</si>
  <si>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</si>
  <si>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</si>
  <si>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</si>
  <si>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</si>
  <si>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</si>
  <si>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</si>
  <si>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</si>
  <si>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</si>
  <si>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</si>
  <si>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</si>
  <si>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</si>
  <si>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</si>
  <si>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</si>
  <si>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</si>
  <si>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</si>
  <si>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</si>
  <si>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</si>
  <si>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</si>
  <si>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</si>
  <si>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</si>
  <si>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</si>
  <si>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</si>
  <si>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</si>
  <si>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</si>
  <si>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</si>
  <si>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</si>
  <si>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</si>
  <si>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</si>
  <si>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</si>
  <si>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</si>
  <si>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</si>
  <si>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</si>
  <si>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</si>
  <si>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</si>
  <si>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</si>
  <si>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</si>
  <si>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</si>
  <si>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</si>
  <si>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</si>
  <si>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</si>
  <si>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</si>
  <si>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</si>
  <si>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</si>
  <si>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</si>
  <si>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</si>
  <si>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</si>
  <si>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</si>
  <si>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</si>
  <si>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</si>
  <si>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</si>
  <si>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</si>
  <si>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</si>
  <si>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</si>
  <si>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</si>
  <si>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</si>
  <si>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</si>
  <si>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</si>
  <si>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</si>
  <si>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</si>
  <si>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</si>
  <si>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</si>
  <si>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</si>
  <si>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</si>
  <si>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</si>
  <si>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</si>
  <si>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</si>
  <si>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</si>
  <si>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</si>
  <si>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</si>
  <si>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</si>
  <si>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</si>
  <si>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</si>
  <si>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</si>
  <si>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</si>
  <si>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</si>
  <si>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</si>
  <si>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</si>
  <si>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</si>
  <si>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</si>
  <si>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</si>
  <si>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</si>
  <si>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</si>
  <si>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</si>
  <si>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</si>
  <si>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</si>
  <si>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</si>
  <si>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</si>
  <si>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</si>
  <si>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</si>
  <si>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</si>
  <si>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</si>
  <si>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</si>
  <si>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</si>
  <si>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</si>
  <si>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</si>
  <si>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</si>
  <si>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</si>
  <si>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</si>
  <si>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</si>
  <si>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</si>
  <si>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</si>
  <si>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</si>
  <si>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</si>
  <si>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</si>
  <si>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</si>
  <si>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</si>
  <si>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</si>
  <si>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</si>
  <si>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</si>
  <si>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</si>
  <si>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</si>
  <si>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</si>
  <si>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</si>
  <si>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</si>
  <si>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</si>
  <si>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</si>
  <si>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</si>
  <si>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</si>
  <si>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</si>
  <si>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</si>
  <si>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</si>
  <si>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</si>
  <si>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</si>
  <si>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</si>
  <si>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</si>
  <si>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</si>
  <si>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</si>
  <si>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</si>
  <si>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</si>
  <si>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</si>
  <si>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</si>
  <si>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</si>
  <si>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</si>
  <si>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</si>
  <si>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</si>
  <si>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</si>
  <si>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</si>
  <si>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</si>
  <si>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</si>
  <si>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</si>
  <si>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</si>
  <si>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</si>
  <si>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</si>
  <si>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</si>
  <si>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</si>
  <si>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</si>
  <si>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</si>
  <si>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</si>
  <si>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</si>
  <si>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</si>
  <si>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</si>
  <si>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</si>
  <si>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</si>
  <si>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</si>
  <si>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</si>
  <si>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</si>
  <si>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</si>
  <si>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</si>
  <si>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</si>
  <si>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</si>
  <si>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</si>
  <si>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</si>
  <si>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</si>
  <si>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</si>
  <si>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</si>
  <si>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</si>
  <si>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</si>
  <si>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</si>
  <si>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</si>
  <si>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</si>
  <si>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</si>
  <si>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</si>
  <si>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</si>
  <si>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</si>
  <si>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</si>
  <si>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</si>
  <si>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</si>
  <si>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</si>
  <si>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</si>
  <si>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</si>
  <si>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</si>
  <si>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</si>
  <si>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</si>
  <si>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</si>
  <si>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</si>
  <si>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</si>
  <si>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</si>
  <si>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</si>
  <si>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</si>
  <si>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</si>
  <si>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</si>
  <si>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</si>
  <si>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</si>
  <si>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</si>
  <si>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</si>
  <si>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</si>
  <si>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</si>
  <si>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</si>
  <si>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</si>
  <si>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</si>
  <si>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</si>
  <si>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</si>
  <si>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</si>
  <si>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</si>
  <si>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</si>
  <si>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</si>
  <si>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</si>
  <si>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</si>
  <si>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</si>
  <si>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</si>
  <si>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</si>
  <si>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</si>
  <si>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</si>
  <si>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</si>
  <si>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</si>
  <si>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</si>
  <si>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</si>
  <si>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</si>
  <si>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</si>
  <si>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</si>
  <si>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</si>
  <si>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</si>
  <si>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</si>
  <si>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</si>
  <si>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</si>
  <si>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</si>
  <si>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</si>
  <si>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</si>
  <si>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</si>
  <si>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</si>
  <si>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</si>
  <si>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</si>
  <si>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</si>
  <si>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</si>
  <si>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</si>
  <si>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</si>
  <si>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</si>
  <si>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</si>
  <si>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</si>
  <si>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</si>
  <si>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</si>
  <si>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</si>
  <si>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</si>
  <si>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</si>
  <si>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</si>
  <si>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</si>
  <si>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</si>
  <si>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</si>
  <si>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</si>
  <si>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</si>
  <si>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</si>
  <si>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</si>
  <si>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</si>
  <si>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</si>
  <si>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</si>
  <si>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</si>
  <si>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</si>
  <si>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</si>
  <si>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</si>
  <si>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</si>
  <si>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</si>
  <si>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</si>
  <si>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</si>
  <si>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</si>
  <si>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</si>
  <si>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</si>
  <si>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</si>
  <si>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</si>
  <si>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</si>
  <si>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</si>
  <si>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</si>
  <si>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</si>
  <si>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</si>
  <si>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</si>
  <si>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</si>
  <si>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</si>
  <si>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</si>
  <si>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</si>
  <si>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</si>
  <si>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</si>
  <si>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</si>
  <si>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</si>
  <si>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</si>
  <si>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</si>
  <si>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</si>
  <si>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</si>
  <si>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</si>
  <si>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</si>
  <si>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</si>
  <si>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</si>
  <si>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</si>
  <si>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</si>
  <si>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</si>
  <si>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</si>
  <si>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</si>
  <si>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</si>
  <si>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</si>
  <si>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</si>
  <si>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</si>
  <si>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</si>
  <si>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</si>
  <si>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</si>
  <si>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</si>
  <si>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</si>
  <si>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</si>
  <si>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</si>
  <si>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</si>
  <si>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</si>
  <si>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</si>
  <si>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</si>
  <si>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</si>
  <si>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</si>
  <si>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</si>
  <si>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</si>
  <si>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</si>
  <si>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</si>
  <si>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</si>
  <si>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</si>
  <si>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</si>
  <si>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</si>
  <si>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</si>
  <si>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</si>
  <si>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</si>
  <si>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</si>
  <si>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</si>
  <si>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</si>
  <si>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</si>
  <si>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</si>
  <si>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</si>
  <si>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</si>
  <si>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</si>
  <si>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</si>
  <si>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</si>
  <si>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</si>
  <si>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</si>
  <si>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</si>
  <si>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</si>
  <si>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</si>
  <si>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</si>
  <si>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</si>
  <si>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</si>
  <si>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</si>
  <si>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</si>
  <si>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</si>
  <si>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</si>
  <si>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</si>
  <si>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</si>
  <si>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</si>
  <si>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</si>
  <si>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</si>
  <si>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</si>
  <si>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</si>
  <si>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</si>
  <si>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</si>
  <si>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</si>
  <si>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</si>
  <si>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</si>
  <si>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</si>
  <si>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</si>
  <si>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</si>
  <si>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</si>
  <si>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</si>
  <si>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</si>
  <si>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</si>
  <si>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</si>
  <si>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</si>
  <si>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</si>
  <si>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</si>
  <si>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</si>
  <si>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</si>
  <si>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</si>
  <si>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</si>
  <si>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</si>
  <si>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</si>
  <si>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</si>
  <si>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</si>
  <si>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</si>
  <si>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</si>
  <si>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</si>
  <si>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</si>
  <si>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</si>
  <si>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</si>
  <si>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</si>
  <si>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</si>
  <si>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</si>
  <si>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</si>
  <si>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</si>
  <si>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</si>
  <si>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</si>
  <si>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</si>
  <si>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</si>
  <si>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</si>
  <si>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</si>
  <si>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</si>
  <si>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</si>
  <si>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</si>
  <si>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</si>
  <si>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</si>
  <si>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</si>
  <si>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</si>
  <si>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</si>
  <si>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</si>
  <si>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</si>
  <si>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</si>
  <si>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</si>
  <si>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</si>
  <si>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</si>
  <si>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</si>
  <si>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</si>
  <si>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</si>
  <si>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</si>
  <si>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</si>
  <si>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</si>
  <si>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</si>
  <si>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</si>
  <si>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</si>
  <si>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</si>
  <si>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</si>
  <si>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</si>
  <si>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</si>
  <si>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</si>
  <si>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</si>
  <si>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</si>
  <si>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</si>
  <si>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</si>
  <si>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</si>
  <si>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</si>
  <si>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</si>
  <si>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</si>
  <si>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</si>
  <si>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</si>
  <si>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</si>
  <si>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</si>
  <si>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</si>
  <si>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</si>
  <si>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</si>
  <si>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</si>
  <si>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</si>
  <si>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</si>
  <si>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</si>
  <si>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</si>
  <si>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</si>
  <si>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</si>
  <si>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</si>
  <si>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</si>
  <si>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</si>
  <si>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</si>
  <si>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</si>
  <si>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</si>
  <si>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</si>
  <si>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</si>
  <si>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</si>
  <si>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</si>
  <si>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</si>
  <si>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</si>
  <si>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</si>
  <si>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</si>
  <si>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</si>
  <si>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</si>
  <si>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</si>
  <si>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</si>
  <si>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</si>
  <si>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</si>
  <si>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</si>
  <si>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</si>
  <si>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</si>
  <si>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</si>
  <si>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</si>
  <si>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</si>
  <si>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</si>
  <si>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</si>
  <si>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</si>
  <si>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</si>
  <si>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</si>
  <si>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</si>
  <si>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</si>
  <si>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</si>
  <si>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</si>
  <si>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</si>
  <si>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</si>
  <si>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</si>
  <si>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</si>
  <si>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</si>
  <si>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</si>
  <si>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</si>
  <si>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</si>
  <si>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</si>
  <si>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</si>
  <si>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</si>
  <si>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</si>
  <si>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</si>
  <si>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</si>
  <si>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</si>
  <si>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</si>
  <si>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</si>
  <si>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</si>
  <si>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</si>
  <si>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</si>
  <si>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</si>
  <si>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</si>
  <si>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</si>
  <si>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</si>
  <si>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</si>
  <si>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</si>
  <si>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</si>
  <si>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</si>
  <si>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</si>
  <si>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</si>
  <si>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</si>
  <si>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</si>
  <si>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</si>
  <si>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</si>
  <si>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</si>
  <si>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</si>
  <si>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</si>
  <si>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</si>
  <si>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</si>
  <si>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</si>
  <si>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</si>
  <si>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</si>
  <si>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</si>
  <si>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</si>
  <si>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</si>
  <si>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</si>
  <si>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</si>
  <si>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</si>
  <si>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</si>
  <si>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</si>
  <si>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</si>
  <si>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</si>
  <si>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</si>
  <si>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</si>
  <si>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</si>
  <si>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</si>
  <si>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</si>
  <si>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</si>
  <si>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</si>
  <si>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</si>
  <si>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</si>
  <si>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</si>
  <si>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</si>
  <si>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</si>
  <si>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</si>
  <si>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</si>
  <si>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</si>
  <si>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</si>
  <si>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</si>
  <si>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</si>
  <si>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</si>
  <si>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</si>
  <si>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</si>
  <si>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</si>
  <si>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</si>
  <si>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</si>
  <si>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</si>
  <si>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</si>
  <si>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</si>
  <si>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</si>
  <si>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</si>
  <si>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</si>
  <si>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</si>
  <si>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</si>
  <si>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</si>
  <si>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</si>
  <si>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</si>
  <si>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</si>
  <si>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</si>
  <si>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</si>
  <si>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</si>
  <si>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</si>
  <si>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</si>
  <si>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</si>
  <si>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</si>
  <si>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</si>
  <si>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</si>
  <si>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</si>
  <si>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</si>
  <si>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</si>
  <si>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</si>
  <si>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</si>
  <si>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</si>
  <si>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</si>
  <si>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</si>
  <si>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</si>
  <si>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</si>
  <si>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</si>
  <si>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</si>
  <si>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</si>
  <si>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</si>
  <si>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</si>
  <si>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</si>
  <si>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</si>
  <si>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</si>
  <si>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</si>
  <si>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</si>
  <si>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</si>
  <si>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</si>
  <si>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</si>
  <si>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</si>
  <si>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</si>
  <si>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</si>
  <si>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</si>
  <si>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</si>
  <si>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</si>
  <si>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</si>
  <si>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</si>
  <si>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</si>
  <si>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</si>
  <si>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</si>
  <si>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</si>
  <si>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</si>
  <si>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</si>
  <si>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</si>
  <si>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</si>
  <si>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</si>
  <si>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</si>
  <si>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</si>
  <si>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</si>
  <si>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</si>
  <si>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</si>
  <si>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</si>
  <si>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</si>
  <si>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</si>
  <si>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</si>
  <si>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</si>
  <si>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</si>
  <si>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</si>
  <si>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</si>
  <si>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</si>
  <si>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</si>
  <si>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</si>
  <si>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</si>
  <si>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</si>
  <si>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</si>
  <si>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</si>
  <si>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</si>
  <si>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</si>
  <si>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</si>
  <si>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</si>
  <si>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</si>
  <si>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</si>
  <si>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</si>
  <si>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</si>
  <si>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</si>
  <si>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</si>
  <si>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</si>
  <si>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</si>
  <si>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</si>
  <si>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</si>
  <si>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</si>
  <si>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</si>
  <si>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</si>
  <si>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</si>
  <si>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</si>
  <si>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</si>
  <si>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</si>
  <si>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</si>
  <si>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</si>
  <si>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</si>
  <si>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</si>
  <si>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</si>
  <si>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</si>
  <si>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</si>
  <si>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</si>
  <si>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</si>
  <si>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</si>
  <si>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</si>
  <si>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</si>
  <si>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</si>
  <si>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</si>
  <si>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</si>
  <si>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</si>
  <si>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</si>
  <si>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</si>
  <si>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</si>
  <si>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</si>
  <si>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</si>
  <si>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</si>
  <si>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</si>
  <si>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</si>
  <si>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</si>
  <si>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</si>
  <si>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</si>
  <si>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</si>
  <si>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</si>
  <si>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</si>
  <si>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</si>
  <si>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</si>
  <si>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</si>
  <si>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</si>
  <si>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</si>
  <si>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</si>
  <si>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</si>
  <si>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</si>
  <si>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</si>
  <si>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</si>
  <si>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</si>
  <si>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</si>
  <si>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</si>
  <si>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</si>
  <si>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</si>
  <si>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</si>
  <si>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</si>
  <si>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</si>
  <si>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</si>
  <si>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</si>
  <si>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</si>
  <si>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</si>
  <si>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</si>
  <si>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</si>
  <si>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</si>
  <si>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</si>
  <si>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</si>
  <si>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</si>
  <si>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</si>
  <si>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</si>
  <si>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</si>
  <si>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</si>
  <si>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</si>
  <si>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</si>
  <si>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</si>
  <si>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</si>
  <si>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</si>
  <si>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</si>
  <si>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</si>
  <si>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</si>
  <si>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</si>
  <si>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</si>
  <si>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</si>
  <si>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</si>
  <si>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</si>
  <si>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</si>
  <si>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</si>
  <si>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</si>
  <si>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</si>
  <si>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</si>
  <si>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</si>
  <si>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</si>
  <si>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</si>
  <si>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</si>
  <si>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</si>
  <si>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</si>
  <si>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</si>
  <si>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</si>
  <si>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</si>
  <si>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</si>
  <si>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</si>
  <si>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</si>
  <si>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</si>
  <si>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</si>
  <si>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</si>
  <si>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</si>
  <si>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</si>
  <si>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</si>
  <si>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</si>
  <si>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</si>
  <si>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</si>
  <si>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</si>
  <si>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</si>
  <si>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</si>
  <si>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</si>
  <si>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</si>
  <si>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</si>
  <si>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</si>
  <si>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</si>
  <si>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</si>
  <si>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</si>
  <si>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</si>
  <si>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</si>
  <si>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</si>
  <si>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</si>
  <si>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</si>
  <si>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</si>
  <si>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</si>
  <si>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</si>
  <si>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</si>
  <si>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</si>
  <si>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</si>
  <si>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</si>
  <si>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</si>
  <si>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</si>
  <si>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</si>
  <si>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</si>
  <si>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</si>
  <si>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</si>
  <si>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</si>
  <si>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</si>
  <si>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</si>
  <si>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</si>
  <si>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</si>
  <si>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</si>
  <si>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</si>
  <si>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</si>
  <si>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</si>
  <si>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</si>
  <si>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</si>
  <si>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</si>
  <si>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</si>
  <si>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</si>
  <si>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</si>
  <si>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</si>
  <si>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</si>
  <si>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</si>
  <si>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</si>
  <si>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</si>
  <si>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</si>
  <si>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</si>
  <si>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</si>
  <si>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</si>
  <si>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</si>
  <si>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</si>
  <si>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</si>
  <si>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</si>
  <si>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</si>
  <si>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</si>
  <si>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</si>
  <si>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</si>
  <si>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</si>
  <si>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</si>
  <si>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</si>
  <si>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</si>
  <si>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</si>
  <si>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</si>
  <si>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</si>
  <si>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</si>
  <si>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</si>
  <si>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</si>
  <si>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</si>
  <si>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</si>
  <si>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</si>
  <si>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</si>
  <si>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</si>
  <si>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</si>
  <si>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</si>
  <si>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</si>
  <si>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</si>
  <si>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</si>
  <si>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</si>
  <si>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</si>
  <si>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</si>
  <si>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</si>
  <si>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</si>
  <si>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</si>
  <si>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</si>
  <si>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</si>
  <si>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</si>
  <si>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</si>
  <si>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</si>
  <si>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</si>
  <si>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</si>
  <si>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</si>
  <si>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</si>
  <si>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</si>
  <si>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</si>
  <si>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</si>
  <si>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</si>
  <si>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</si>
  <si>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</si>
  <si>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</si>
  <si>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</si>
  <si>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</si>
  <si>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</si>
  <si>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</si>
  <si>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</si>
  <si>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</si>
  <si>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</si>
  <si>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</si>
  <si>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</si>
  <si>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</si>
  <si>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</si>
  <si>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</si>
  <si>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</si>
  <si>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</si>
  <si>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</si>
  <si>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</si>
  <si>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</si>
  <si>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</si>
  <si>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</si>
  <si>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</si>
  <si>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</si>
  <si>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</si>
  <si>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</si>
  <si>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</si>
  <si>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</si>
  <si>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</si>
  <si>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</si>
  <si>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</si>
  <si>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</si>
  <si>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</si>
  <si>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</si>
  <si>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</si>
  <si>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</si>
  <si>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</si>
  <si>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</si>
  <si>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</si>
  <si>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</si>
  <si>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</si>
  <si>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</si>
  <si>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</si>
  <si>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</si>
  <si>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</si>
  <si>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</si>
  <si>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</si>
  <si>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</si>
  <si>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</si>
  <si>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</si>
  <si>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</si>
  <si>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</si>
  <si>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</si>
  <si>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</si>
  <si>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</si>
  <si>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</si>
  <si>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</si>
  <si>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</si>
  <si>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</si>
  <si>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</si>
  <si>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</si>
  <si>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</si>
  <si>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</si>
  <si>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</si>
  <si>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</si>
  <si>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</si>
  <si>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</si>
  <si>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</si>
  <si>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</si>
  <si>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</si>
  <si>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</si>
  <si>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</si>
  <si>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</si>
  <si>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</si>
  <si>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</si>
  <si>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</si>
  <si>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</si>
  <si>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</si>
  <si>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</si>
  <si>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</si>
  <si>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</si>
  <si>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</si>
  <si>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</si>
  <si>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</si>
  <si>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</si>
  <si>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</si>
  <si>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</si>
  <si>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</si>
  <si>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</si>
  <si>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</si>
  <si>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</si>
  <si>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</si>
  <si>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</si>
  <si>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</si>
  <si>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</si>
  <si>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</si>
  <si>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</si>
  <si>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</si>
  <si>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</si>
  <si>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</si>
  <si>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</si>
  <si>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</si>
  <si>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</si>
  <si>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</si>
  <si>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</si>
  <si>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</si>
  <si>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</si>
  <si>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</si>
  <si>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</si>
  <si>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</si>
  <si>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</si>
  <si>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</si>
  <si>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</si>
  <si>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</si>
  <si>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</si>
  <si>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</si>
  <si>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</si>
  <si>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</si>
  <si>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</si>
  <si>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</si>
  <si>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</si>
  <si>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</si>
  <si>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</si>
  <si>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</si>
  <si>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</si>
  <si>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</si>
  <si>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</si>
  <si>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</si>
  <si>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</si>
  <si>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</si>
  <si>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</si>
  <si>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</si>
  <si>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</si>
  <si>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</si>
  <si>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</si>
  <si>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</si>
  <si>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</si>
  <si>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</si>
  <si>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</si>
  <si>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</si>
  <si>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</si>
  <si>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</si>
  <si>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</si>
  <si>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</si>
  <si>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</si>
  <si>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</si>
  <si>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</si>
  <si>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</si>
  <si>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</si>
  <si>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</si>
  <si>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</si>
  <si>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</si>
  <si>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</si>
  <si>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</si>
  <si>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</si>
  <si>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</si>
  <si>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</si>
  <si>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</si>
  <si>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</si>
  <si>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</si>
  <si>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</si>
  <si>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</si>
  <si>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</si>
  <si>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</si>
  <si>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</si>
  <si>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</si>
  <si>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</si>
  <si>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</si>
  <si>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</si>
  <si>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</si>
  <si>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</si>
  <si>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</si>
  <si>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</si>
  <si>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</si>
  <si>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</si>
  <si>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</si>
  <si>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</si>
  <si>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</si>
  <si>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</si>
  <si>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</si>
  <si>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</si>
  <si>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</si>
  <si>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</si>
  <si>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</si>
  <si>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</si>
  <si>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</si>
  <si>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</si>
  <si>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</si>
  <si>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</si>
  <si>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</si>
  <si>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</si>
  <si>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</si>
  <si>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</si>
  <si>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</si>
  <si>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</si>
  <si>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</si>
  <si>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</si>
  <si>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</si>
  <si>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</si>
  <si>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</si>
  <si>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</si>
  <si>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</si>
  <si>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</si>
  <si>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</si>
  <si>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</si>
  <si>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</si>
  <si>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</si>
  <si>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</si>
  <si>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</si>
  <si>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</si>
  <si>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</si>
  <si>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</si>
  <si>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</si>
  <si>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</si>
  <si>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</si>
  <si>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</si>
  <si>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</si>
  <si>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</si>
  <si>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</si>
  <si>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</si>
  <si>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</si>
  <si>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</si>
  <si>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</si>
  <si>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</si>
  <si>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</si>
  <si>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</si>
  <si>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</si>
  <si>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</si>
  <si>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</si>
  <si>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</si>
  <si>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</si>
  <si>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</si>
  <si>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</si>
  <si>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</si>
  <si>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</si>
  <si>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</si>
  <si>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</si>
  <si>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</si>
  <si>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</si>
  <si>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</si>
  <si>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</si>
  <si>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</si>
  <si>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</si>
  <si>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</si>
  <si>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</si>
  <si>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</si>
  <si>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</si>
  <si>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</si>
  <si>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</si>
  <si>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</si>
  <si>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</si>
  <si>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</si>
  <si>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</si>
  <si>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</si>
  <si>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</si>
  <si>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</si>
  <si>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</si>
  <si>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</si>
  <si>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</si>
  <si>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</si>
  <si>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</si>
  <si>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</si>
  <si>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</si>
  <si>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</si>
  <si>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</si>
  <si>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</si>
  <si>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</si>
  <si>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</si>
  <si>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</si>
  <si>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</si>
  <si>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</si>
  <si>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</si>
  <si>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</si>
  <si>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</si>
  <si>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</si>
  <si>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</si>
  <si>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</si>
  <si>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</si>
  <si>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</si>
  <si>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</si>
  <si>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</si>
  <si>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</si>
  <si>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</si>
  <si>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</si>
  <si>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</si>
  <si>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</si>
  <si>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</si>
  <si>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</si>
  <si>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</si>
  <si>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</si>
  <si>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</si>
  <si>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</si>
  <si>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</si>
  <si>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</si>
  <si>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</si>
  <si>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</si>
  <si>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</si>
  <si>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</si>
  <si>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</si>
  <si>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</si>
  <si>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</si>
  <si>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</si>
  <si>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</si>
  <si>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</si>
  <si>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</si>
  <si>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</si>
  <si>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</si>
  <si>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</si>
  <si>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</si>
  <si>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</si>
  <si>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</si>
  <si>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</si>
  <si>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</si>
  <si>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</si>
  <si>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</si>
  <si>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</si>
  <si>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</si>
  <si>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</si>
  <si>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</si>
  <si>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</si>
  <si>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</si>
  <si>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</si>
  <si>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</si>
  <si>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</si>
  <si>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</si>
  <si>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</si>
  <si>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</si>
  <si>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</si>
  <si>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</si>
  <si>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</si>
  <si>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</si>
  <si>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</si>
  <si>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</si>
  <si>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</si>
  <si>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</si>
  <si>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</si>
  <si>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</si>
  <si>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</si>
  <si>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</si>
  <si>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</si>
  <si>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</si>
  <si>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</si>
  <si>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</si>
  <si>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</si>
  <si>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</si>
  <si>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</si>
  <si>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</si>
  <si>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</si>
  <si>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</si>
  <si>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</si>
  <si>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</si>
  <si>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</si>
  <si>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</si>
  <si>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</si>
  <si>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</si>
  <si>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</si>
  <si>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</si>
  <si>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</si>
  <si>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</si>
  <si>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</si>
  <si>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</si>
  <si>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</si>
  <si>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</si>
  <si>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</si>
  <si>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</si>
  <si>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</si>
  <si>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</si>
  <si>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</si>
  <si>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</si>
  <si>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</si>
  <si>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</si>
  <si>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</si>
  <si>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</si>
  <si>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</si>
  <si>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</si>
  <si>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</si>
  <si>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</si>
  <si>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</si>
  <si>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</si>
  <si>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</si>
  <si>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</si>
  <si>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</si>
  <si>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</si>
  <si>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</si>
  <si>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</si>
  <si>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</si>
  <si>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</si>
  <si>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</si>
  <si>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</si>
  <si>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</si>
  <si>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</si>
  <si>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</si>
  <si>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</si>
  <si>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</si>
  <si>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</si>
  <si>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</si>
  <si>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</si>
  <si>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</si>
  <si>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</si>
  <si>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</si>
  <si>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</si>
  <si>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</si>
  <si>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</si>
  <si>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</si>
  <si>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</si>
  <si>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</si>
  <si>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</si>
  <si>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</si>
  <si>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</si>
  <si>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</si>
  <si>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</si>
  <si>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</si>
  <si>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</si>
  <si>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</si>
  <si>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</si>
  <si>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</si>
  <si>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</si>
  <si>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</si>
  <si>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</si>
  <si>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</si>
  <si>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</si>
  <si>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</si>
  <si>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</si>
  <si>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</si>
  <si>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</si>
  <si>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</si>
  <si>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</si>
  <si>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</si>
  <si>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</si>
  <si>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</si>
  <si>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</si>
  <si>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</si>
  <si>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</si>
  <si>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</si>
  <si>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</si>
  <si>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</si>
  <si>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</si>
  <si>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</si>
  <si>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</si>
  <si>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</si>
  <si>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</si>
  <si>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</si>
  <si>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</si>
  <si>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</si>
  <si>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</si>
  <si>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</si>
  <si>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</si>
  <si>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</si>
  <si>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</si>
  <si>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</si>
  <si>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</si>
  <si>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</si>
  <si>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</si>
  <si>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</si>
  <si>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</si>
  <si>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</si>
  <si>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</si>
  <si>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</si>
  <si>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</si>
  <si>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</si>
  <si>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</si>
  <si>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</si>
  <si>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</si>
  <si>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</si>
  <si>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</si>
  <si>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</si>
  <si>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</si>
  <si>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</si>
  <si>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</si>
  <si>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</si>
  <si>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</si>
  <si>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</si>
  <si>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</si>
  <si>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</si>
  <si>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</si>
  <si>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</si>
  <si>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</si>
  <si>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</si>
  <si>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</si>
  <si>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</si>
  <si>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</si>
  <si>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</si>
  <si>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</si>
  <si>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</si>
  <si>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</si>
  <si>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</si>
  <si>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</si>
  <si>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</si>
  <si>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</si>
  <si>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</si>
  <si>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</si>
  <si>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</si>
  <si>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</si>
  <si>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</si>
  <si>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</si>
  <si>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</si>
  <si>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</si>
  <si>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</si>
  <si>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</si>
  <si>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</si>
  <si>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</si>
  <si>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</si>
  <si>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</si>
  <si>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</si>
  <si>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</si>
  <si>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</si>
  <si>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</si>
  <si>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</si>
  <si>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</si>
  <si>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</si>
  <si>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</si>
  <si>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</si>
  <si>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</si>
  <si>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</si>
  <si>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</si>
  <si>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</si>
  <si>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</si>
  <si>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</si>
  <si>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</si>
  <si>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</si>
  <si>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</si>
  <si>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</si>
  <si>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</si>
  <si>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</si>
  <si>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</si>
  <si>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</si>
  <si>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</si>
  <si>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</si>
  <si>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</si>
  <si>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</si>
  <si>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</si>
  <si>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</si>
  <si>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</si>
  <si>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</si>
  <si>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</si>
  <si>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</si>
  <si>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</si>
  <si>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</si>
  <si>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</si>
  <si>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</si>
  <si>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</si>
  <si>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</si>
  <si>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</si>
  <si>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</si>
  <si>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</si>
  <si>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</si>
  <si>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</si>
  <si>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</si>
  <si>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</si>
  <si>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</si>
  <si>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</si>
  <si>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</si>
  <si>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</si>
  <si>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</si>
  <si>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</si>
  <si>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</si>
  <si>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</si>
  <si>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</si>
  <si>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</si>
  <si>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</si>
  <si>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</si>
  <si>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</si>
  <si>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</si>
  <si>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</si>
  <si>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</si>
  <si>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</si>
  <si>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</si>
  <si>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</si>
  <si>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</si>
  <si>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</si>
  <si>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</si>
  <si>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</si>
  <si>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</si>
  <si>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</si>
  <si>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</si>
  <si>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</si>
  <si>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</si>
  <si>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</si>
  <si>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</si>
  <si>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</si>
  <si>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</si>
  <si>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</si>
  <si>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</si>
  <si>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</si>
  <si>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</si>
  <si>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</si>
  <si>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</si>
  <si>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</si>
  <si>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</si>
  <si>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</si>
  <si>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</si>
  <si>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</si>
  <si>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</si>
  <si>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</si>
  <si>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</si>
  <si>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</si>
  <si>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</si>
  <si>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</si>
  <si>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</si>
  <si>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</si>
  <si>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</si>
  <si>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</si>
  <si>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</si>
  <si>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</si>
  <si>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</si>
  <si>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</si>
  <si>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</si>
  <si>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</si>
  <si>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</si>
  <si>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</si>
  <si>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</si>
  <si>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</si>
  <si>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</si>
  <si>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</si>
  <si>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</si>
  <si>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</si>
  <si>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</si>
  <si>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</si>
  <si>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</si>
  <si>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</si>
  <si>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</si>
  <si>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</si>
  <si>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</si>
  <si>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</si>
  <si>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</si>
  <si>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</si>
  <si>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</si>
  <si>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</si>
  <si>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</si>
  <si>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</si>
  <si>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</si>
  <si>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</si>
  <si>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</si>
  <si>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</si>
  <si>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</si>
  <si>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</si>
  <si>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</si>
  <si>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</si>
  <si>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</si>
  <si>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</si>
  <si>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</si>
  <si>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</si>
  <si>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</si>
  <si>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</si>
  <si>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</si>
  <si>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</si>
  <si>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</si>
  <si>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</si>
  <si>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</si>
  <si>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</si>
  <si>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</si>
  <si>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</si>
  <si>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</si>
  <si>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</si>
  <si>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</si>
  <si>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</si>
  <si>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</si>
  <si>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</si>
  <si>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</si>
  <si>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</si>
  <si>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</si>
  <si>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</si>
  <si>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</si>
  <si>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</si>
  <si>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</si>
  <si>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</si>
  <si>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</si>
  <si>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</si>
  <si>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</si>
  <si>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</si>
  <si>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</si>
  <si>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</si>
  <si>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</si>
  <si>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</si>
  <si>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</si>
  <si>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</si>
  <si>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</si>
  <si>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</si>
  <si>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</si>
  <si>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</si>
  <si>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</si>
  <si>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</si>
  <si>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</si>
  <si>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</si>
  <si>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</si>
  <si>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</si>
  <si>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</si>
  <si>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</si>
  <si>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</si>
  <si>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</si>
  <si>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</si>
  <si>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</si>
  <si>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</si>
  <si>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</si>
  <si>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</si>
  <si>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</si>
  <si>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</si>
  <si>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</si>
  <si>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</si>
  <si>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</si>
  <si>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</si>
  <si>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</si>
  <si>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</si>
  <si>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</si>
  <si>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</si>
  <si>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</si>
  <si>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</si>
  <si>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</si>
  <si>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</si>
  <si>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</si>
  <si>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</si>
  <si>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</si>
  <si>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</si>
  <si>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</si>
  <si>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</si>
  <si>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</si>
  <si>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</si>
  <si>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</si>
  <si>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</si>
  <si>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</si>
  <si>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</si>
  <si>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</si>
  <si>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</si>
  <si>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</si>
  <si>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</si>
  <si>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</si>
  <si>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</si>
  <si>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</si>
  <si>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</si>
  <si>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</si>
  <si>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</si>
  <si>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</si>
  <si>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</si>
  <si>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</si>
  <si>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</si>
  <si>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</si>
  <si>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</si>
  <si>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</si>
  <si>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</si>
  <si>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</si>
  <si>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</si>
  <si>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</si>
  <si>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</si>
  <si>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</si>
  <si>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</si>
  <si>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</si>
  <si>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</si>
  <si>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</si>
  <si>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</si>
  <si>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</si>
  <si>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</si>
  <si>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</si>
  <si>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</si>
  <si>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</si>
  <si>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</si>
  <si>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</si>
  <si>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</si>
  <si>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</si>
  <si>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</si>
  <si>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</si>
  <si>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</si>
  <si>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</si>
  <si>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</si>
  <si>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</si>
  <si>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</si>
  <si>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</si>
  <si>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</si>
  <si>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</si>
  <si>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</si>
  <si>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</si>
  <si>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</si>
  <si>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</si>
  <si>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</si>
  <si>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</si>
  <si>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</si>
  <si>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</si>
  <si>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</si>
  <si>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</si>
  <si>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</si>
  <si>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</si>
  <si>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</si>
  <si>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</si>
  <si>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</si>
  <si>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</si>
  <si>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</si>
  <si>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</si>
  <si>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</si>
  <si>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</si>
  <si>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</si>
  <si>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</si>
  <si>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</si>
  <si>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</si>
  <si>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</si>
  <si>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</si>
  <si>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</si>
  <si>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</si>
  <si>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</si>
  <si>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</si>
  <si>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</si>
  <si>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</si>
  <si>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</si>
  <si>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</si>
  <si>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</si>
  <si>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</si>
  <si>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</si>
  <si>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</si>
  <si>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</si>
  <si>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</si>
  <si>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</si>
  <si>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</si>
  <si>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</si>
  <si>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</si>
  <si>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</si>
  <si>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</si>
  <si>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</si>
  <si>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</si>
  <si>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</si>
  <si>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</si>
  <si>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</si>
  <si>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</si>
  <si>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</si>
  <si>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</si>
  <si>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</si>
  <si>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</si>
  <si>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</si>
  <si>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</si>
  <si>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</si>
  <si>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</si>
  <si>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</si>
  <si>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</si>
  <si>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</si>
  <si>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</si>
  <si>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</si>
  <si>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</si>
  <si>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</si>
  <si>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</si>
  <si>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</si>
  <si>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</si>
  <si>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</si>
  <si>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</si>
  <si>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</si>
  <si>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</si>
  <si>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</si>
  <si>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</si>
  <si>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</si>
  <si>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</si>
  <si>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</si>
  <si>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</si>
  <si>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</si>
  <si>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</si>
  <si>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</si>
  <si>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</si>
  <si>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</si>
  <si>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</si>
  <si>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</si>
  <si>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</si>
  <si>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</si>
  <si>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</si>
  <si>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</si>
  <si>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</si>
  <si>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</si>
  <si>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</si>
  <si>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</si>
  <si>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</si>
  <si>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</si>
  <si>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</si>
  <si>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</si>
  <si>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</si>
  <si>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</si>
  <si>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</si>
  <si>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</si>
  <si>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</si>
  <si>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</si>
  <si>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</si>
  <si>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</si>
  <si>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</si>
  <si>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</si>
  <si>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</si>
  <si>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</si>
  <si>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</si>
  <si>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</si>
  <si>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</si>
  <si>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</si>
  <si>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</si>
  <si>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</si>
  <si>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</si>
  <si>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</si>
  <si>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</si>
  <si>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</si>
  <si>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</si>
  <si>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</si>
  <si>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</si>
  <si>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</si>
  <si>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</si>
  <si>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</si>
  <si>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</si>
  <si>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</si>
  <si>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</si>
  <si>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</si>
  <si>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</si>
  <si>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</si>
  <si>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</si>
  <si>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</si>
  <si>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</si>
  <si>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</si>
  <si>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</si>
  <si>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</si>
  <si>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</si>
  <si>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</si>
  <si>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</si>
  <si>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</si>
  <si>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</si>
  <si>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</si>
  <si>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</si>
  <si>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</si>
  <si>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</si>
  <si>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</si>
  <si>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</si>
  <si>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</si>
  <si>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</si>
  <si>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</si>
  <si>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</si>
  <si>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</si>
  <si>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</si>
  <si>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</si>
  <si>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</si>
  <si>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</si>
  <si>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</si>
  <si>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</si>
  <si>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</si>
  <si>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</si>
  <si>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</si>
  <si>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</si>
  <si>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</si>
  <si>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</si>
  <si>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</si>
  <si>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</si>
  <si>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</si>
  <si>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</si>
  <si>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</si>
  <si>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</si>
  <si>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</si>
  <si>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</si>
  <si>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</si>
  <si>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</si>
  <si>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</si>
  <si>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</si>
  <si>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</si>
  <si>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</si>
  <si>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</si>
  <si>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</si>
  <si>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</si>
  <si>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</si>
  <si>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</si>
  <si>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</si>
  <si>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</si>
  <si>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</si>
  <si>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</si>
  <si>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</si>
  <si>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</si>
  <si>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</si>
  <si>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</si>
  <si>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</si>
  <si>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</si>
  <si>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</si>
  <si>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</si>
  <si>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</si>
  <si>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</si>
  <si>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</si>
  <si>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</si>
  <si>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</si>
  <si>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</si>
  <si>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</si>
  <si>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</si>
  <si>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</si>
  <si>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</si>
  <si>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</si>
  <si>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</si>
  <si>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</si>
  <si>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</si>
  <si>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</si>
  <si>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</si>
  <si>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</si>
  <si>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</si>
  <si>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</si>
  <si>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</si>
  <si>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</si>
  <si>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</si>
  <si>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</si>
  <si>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</si>
  <si>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</si>
  <si>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</si>
  <si>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</si>
  <si>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</si>
  <si>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</si>
  <si>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</si>
  <si>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</si>
  <si>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</si>
  <si>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</si>
  <si>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</si>
  <si>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</si>
  <si>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</si>
  <si>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</si>
  <si>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</si>
  <si>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</si>
  <si>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</si>
  <si>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</si>
  <si>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</si>
  <si>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</si>
  <si>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</si>
  <si>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</si>
  <si>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</si>
  <si>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</si>
  <si>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</si>
  <si>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</si>
  <si>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</si>
  <si>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</si>
  <si>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</si>
  <si>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</si>
  <si>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</si>
  <si>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</si>
  <si>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</si>
  <si>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</si>
  <si>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</si>
  <si>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</si>
  <si>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</si>
  <si>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</si>
  <si>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</si>
  <si>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</si>
  <si>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</si>
  <si>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</si>
  <si>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</si>
  <si>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</si>
  <si>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</si>
  <si>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</si>
  <si>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</si>
  <si>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</si>
  <si>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</si>
  <si>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</si>
  <si>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</si>
  <si>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</si>
  <si>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</si>
  <si>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</si>
  <si>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</si>
  <si>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</si>
  <si>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</si>
  <si>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</si>
  <si>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</si>
  <si>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</si>
  <si>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</si>
  <si>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</si>
  <si>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</si>
  <si>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</si>
  <si>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</si>
  <si>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</si>
  <si>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</si>
  <si>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</si>
  <si>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</si>
  <si>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</si>
  <si>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</si>
  <si>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</si>
  <si>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</si>
  <si>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</si>
  <si>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</si>
  <si>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</si>
  <si>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</si>
  <si>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</si>
  <si>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</si>
  <si>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</si>
  <si>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</si>
  <si>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</si>
  <si>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</si>
  <si>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</si>
  <si>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</si>
  <si>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</si>
  <si>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</si>
  <si>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</si>
  <si>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</si>
  <si>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</si>
  <si>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</si>
  <si>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</si>
  <si>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</si>
  <si>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</si>
  <si>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</si>
  <si>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</si>
  <si>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</si>
  <si>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</si>
  <si>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</si>
  <si>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</si>
  <si>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</si>
  <si>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</si>
  <si>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</si>
  <si>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</si>
  <si>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</si>
  <si>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</si>
  <si>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</si>
  <si>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</si>
  <si>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</si>
  <si>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</si>
  <si>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</si>
  <si>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</si>
  <si>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</si>
  <si>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</si>
  <si>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</si>
  <si>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</si>
  <si>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</si>
  <si>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</si>
  <si>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</si>
  <si>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</si>
  <si>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</si>
  <si>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</si>
  <si>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</si>
  <si>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</si>
  <si>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</si>
  <si>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</si>
  <si>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</si>
  <si>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</si>
  <si>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</si>
  <si>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</si>
  <si>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</si>
  <si>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</si>
  <si>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</si>
  <si>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</si>
  <si>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</si>
  <si>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</si>
  <si>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</si>
  <si>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</si>
  <si>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</si>
  <si>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</si>
  <si>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</si>
  <si>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</si>
  <si>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</si>
  <si>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</si>
  <si>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</si>
  <si>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</si>
  <si>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</si>
  <si>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</si>
  <si>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</si>
  <si>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</si>
  <si>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</si>
  <si>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</si>
  <si>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</si>
  <si>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</si>
  <si>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</si>
  <si>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</si>
  <si>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</si>
  <si>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</si>
  <si>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</si>
  <si>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</si>
  <si>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</si>
  <si>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</si>
  <si>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</si>
  <si>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</si>
  <si>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</si>
  <si>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</si>
  <si>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</si>
  <si>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</si>
  <si>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</si>
  <si>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</si>
  <si>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</si>
  <si>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</si>
  <si>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</si>
  <si>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</si>
  <si>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</si>
  <si>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</si>
  <si>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</si>
  <si>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</si>
  <si>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</si>
  <si>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</si>
  <si>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</si>
  <si>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</si>
  <si>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</si>
  <si>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</si>
  <si>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</si>
  <si>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</si>
  <si>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</si>
  <si>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</si>
  <si>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</si>
  <si>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</si>
  <si>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</si>
  <si>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</si>
  <si>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</si>
  <si>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</si>
  <si>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</si>
  <si>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</si>
  <si>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</si>
  <si>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</si>
  <si>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</si>
  <si>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</si>
  <si>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</si>
  <si>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</si>
  <si>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</si>
  <si>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</si>
  <si>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</si>
  <si>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</si>
  <si>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</si>
  <si>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</si>
  <si>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</si>
  <si>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</si>
  <si>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</si>
  <si>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</si>
  <si>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</si>
  <si>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</si>
  <si>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</si>
  <si>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</si>
  <si>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</si>
  <si>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</si>
  <si>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</si>
  <si>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</si>
  <si>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</si>
  <si>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</si>
  <si>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</si>
  <si>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</si>
  <si>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</si>
  <si>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</si>
  <si>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</si>
  <si>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</si>
  <si>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</si>
  <si>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</si>
  <si>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</si>
  <si>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</si>
  <si>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</si>
  <si>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</si>
  <si>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</si>
  <si>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</si>
  <si>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</si>
  <si>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</si>
  <si>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</si>
  <si>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</si>
  <si>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</si>
  <si>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</si>
  <si>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</si>
  <si>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</si>
  <si>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</si>
  <si>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</si>
  <si>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</si>
  <si>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</si>
  <si>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</si>
  <si>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</si>
  <si>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</si>
  <si>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</si>
  <si>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</si>
  <si>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</si>
  <si>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</si>
  <si>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</si>
  <si>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</si>
  <si>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</si>
  <si>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</si>
  <si>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</si>
  <si>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</si>
  <si>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</si>
  <si>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</si>
  <si>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</si>
  <si>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</si>
  <si>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</si>
  <si>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</si>
  <si>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</si>
  <si>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</si>
  <si>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</si>
  <si>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</si>
  <si>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</si>
  <si>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</si>
  <si>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</si>
  <si>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</si>
  <si>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</si>
  <si>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</si>
  <si>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</si>
  <si>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</si>
  <si>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</si>
  <si>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</si>
  <si>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</si>
  <si>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</si>
  <si>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</si>
  <si>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</si>
  <si>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</si>
  <si>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</si>
  <si>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</si>
  <si>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</si>
  <si>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</si>
  <si>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</si>
  <si>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</si>
  <si>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</si>
  <si>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</si>
  <si>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</si>
  <si>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</si>
  <si>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</si>
  <si>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</si>
  <si>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</si>
  <si>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</si>
  <si>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</si>
  <si>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</si>
  <si>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</si>
  <si>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</si>
  <si>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</si>
  <si>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</si>
  <si>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</si>
  <si>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</si>
  <si>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</si>
  <si>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</si>
  <si>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</si>
  <si>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</si>
  <si>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</si>
  <si>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</si>
  <si>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</si>
  <si>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</si>
  <si>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</si>
  <si>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</si>
  <si>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</si>
  <si>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</si>
  <si>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</si>
  <si>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</si>
  <si>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</si>
  <si>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</si>
  <si>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</si>
  <si>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</si>
  <si>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</si>
  <si>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</si>
  <si>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</si>
  <si>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</si>
  <si>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</si>
  <si>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</si>
  <si>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</si>
  <si>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</si>
  <si>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</si>
  <si>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</si>
  <si>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</si>
  <si>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</si>
  <si>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</si>
  <si>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</si>
  <si>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</si>
  <si>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</si>
  <si>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</si>
  <si>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</si>
  <si>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</si>
  <si>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</si>
  <si>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</si>
  <si>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</si>
  <si>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</si>
  <si>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</si>
  <si>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</si>
  <si>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</si>
  <si>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</si>
  <si>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</si>
  <si>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</si>
  <si>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</si>
  <si>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</si>
  <si>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</si>
  <si>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</si>
  <si>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</si>
  <si>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</si>
  <si>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</si>
  <si>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</si>
  <si>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</si>
  <si>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</si>
  <si>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</si>
  <si>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</si>
  <si>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</si>
  <si>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</si>
  <si>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</si>
  <si>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</si>
  <si>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</si>
  <si>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</si>
  <si>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</si>
  <si>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</si>
  <si>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</si>
  <si>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</si>
  <si>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</si>
  <si>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</si>
  <si>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</si>
  <si>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</si>
  <si>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</si>
  <si>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</si>
  <si>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</si>
  <si>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</si>
  <si>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</si>
  <si>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</si>
  <si>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</si>
  <si>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</si>
  <si>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</si>
  <si>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</si>
  <si>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</si>
  <si>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</si>
  <si>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</si>
  <si>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</si>
  <si>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</si>
  <si>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</si>
  <si>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</si>
  <si>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</si>
  <si>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</si>
  <si>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</si>
  <si>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</si>
  <si>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</si>
  <si>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</si>
  <si>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</si>
  <si>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</si>
  <si>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</si>
  <si>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</si>
  <si>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</si>
  <si>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</si>
  <si>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</si>
  <si>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</si>
  <si>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</si>
  <si>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</si>
  <si>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</si>
  <si>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</si>
  <si>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</si>
  <si>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</si>
  <si>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</si>
  <si>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</si>
  <si>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</si>
  <si>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</si>
  <si>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</si>
  <si>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</si>
  <si>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</si>
  <si>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</si>
  <si>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</si>
  <si>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</si>
  <si>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</si>
  <si>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</si>
  <si>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</si>
  <si>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</si>
  <si>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</si>
  <si>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</si>
  <si>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</si>
  <si>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</si>
  <si>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</si>
  <si>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</si>
  <si>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</si>
  <si>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</si>
  <si>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</si>
  <si>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</si>
  <si>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</si>
  <si>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</si>
  <si>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</si>
  <si>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</si>
  <si>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</si>
  <si>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</si>
  <si>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</si>
  <si>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</si>
  <si>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</si>
  <si>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</si>
  <si>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</si>
  <si>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</si>
  <si>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</si>
  <si>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</si>
  <si>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</si>
  <si>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</si>
  <si>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</si>
  <si>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</si>
  <si>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</si>
  <si>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</si>
  <si>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</si>
  <si>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</si>
  <si>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</si>
  <si>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</si>
  <si>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</si>
  <si>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</si>
  <si>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</si>
  <si>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</si>
  <si>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</si>
  <si>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</si>
  <si>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</si>
  <si>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</si>
  <si>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</si>
  <si>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</si>
  <si>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</si>
  <si>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</si>
  <si>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</si>
  <si>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</si>
  <si>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</si>
  <si>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</si>
  <si>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</si>
  <si>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</si>
  <si>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</si>
  <si>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</si>
  <si>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</si>
  <si>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</si>
  <si>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</si>
  <si>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</si>
  <si>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</si>
  <si>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</si>
  <si>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</si>
  <si>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</si>
  <si>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</si>
  <si>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</si>
  <si>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</si>
  <si>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</si>
  <si>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</si>
  <si>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</si>
  <si>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</si>
  <si>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</si>
  <si>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</si>
  <si>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</si>
  <si>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</si>
  <si>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</si>
  <si>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</si>
  <si>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</si>
  <si>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</si>
  <si>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</si>
  <si>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</si>
  <si>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</si>
  <si>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</si>
  <si>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</si>
  <si>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</si>
  <si>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</si>
  <si>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</si>
  <si>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</si>
  <si>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</si>
  <si>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</si>
  <si>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</si>
  <si>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</si>
  <si>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</si>
  <si>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</si>
  <si>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</si>
  <si>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</si>
  <si>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</si>
  <si>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</si>
  <si>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</si>
  <si>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</si>
  <si>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</si>
  <si>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</si>
  <si>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</si>
  <si>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</si>
  <si>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</si>
  <si>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</si>
  <si>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</si>
  <si>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</si>
  <si>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</si>
  <si>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</si>
  <si>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</si>
  <si>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</si>
  <si>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</si>
  <si>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</si>
  <si>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</si>
  <si>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</si>
  <si>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</si>
  <si>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</si>
  <si>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</si>
  <si>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</si>
  <si>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</si>
  <si>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</si>
  <si>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</si>
  <si>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</si>
  <si>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</si>
  <si>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</si>
  <si>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</si>
  <si>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</si>
  <si>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</si>
  <si>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</si>
  <si>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</si>
  <si>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</si>
  <si>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</si>
  <si>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</si>
  <si>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</si>
  <si>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</si>
  <si>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</si>
  <si>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</si>
  <si>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</si>
  <si>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</si>
  <si>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</si>
  <si>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</si>
  <si>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</si>
  <si>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</si>
  <si>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</si>
  <si>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</si>
  <si>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</si>
  <si>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</si>
  <si>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</si>
  <si>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</si>
  <si>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</si>
  <si>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</si>
  <si>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</si>
  <si>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</si>
  <si>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</si>
  <si>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</si>
  <si>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</si>
  <si>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</si>
  <si>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</si>
  <si>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</si>
  <si>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</si>
  <si>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</si>
  <si>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</si>
  <si>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</si>
  <si>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</si>
  <si>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</si>
  <si>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</si>
  <si>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</si>
  <si>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</si>
  <si>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</si>
  <si>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</si>
  <si>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</si>
  <si>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</si>
  <si>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</si>
  <si>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</si>
  <si>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</si>
  <si>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</si>
  <si>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</si>
  <si>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</si>
  <si>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</si>
  <si>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</si>
  <si>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</si>
  <si>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</si>
  <si>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</si>
  <si>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</si>
  <si>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</si>
  <si>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</si>
  <si>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</si>
  <si>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</si>
  <si>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</si>
  <si>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</si>
  <si>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</si>
  <si>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</si>
  <si>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</si>
  <si>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</si>
  <si>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</si>
  <si>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</si>
  <si>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</si>
  <si>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</si>
  <si>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</si>
  <si>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</si>
  <si>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</si>
  <si>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</si>
  <si>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</si>
  <si>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</si>
  <si>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</si>
  <si>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</si>
  <si>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</si>
  <si>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</si>
  <si>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</si>
  <si>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</si>
  <si>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</si>
  <si>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</si>
  <si>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</si>
  <si>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</si>
  <si>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</si>
  <si>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</si>
  <si>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</si>
  <si>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</si>
  <si>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</si>
  <si>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</si>
  <si>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</si>
  <si>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</si>
  <si>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</si>
  <si>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</si>
  <si>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</si>
  <si>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</si>
  <si>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</si>
  <si>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</si>
  <si>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</si>
  <si>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</si>
  <si>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</si>
  <si>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</si>
  <si>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</si>
  <si>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</si>
  <si>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</si>
  <si>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</si>
  <si>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</si>
  <si>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</si>
  <si>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</si>
  <si>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成新度</t>
  </si>
  <si>
    <t>收益法</t>
  </si>
  <si>
    <t>商务金融用地</t>
  </si>
  <si>
    <t>不临65条商业街</t>
  </si>
  <si>
    <t>与级别开发程度一致</t>
  </si>
  <si>
    <t>押一</t>
  </si>
  <si>
    <t>钢混</t>
  </si>
  <si>
    <t>非生产用房</t>
  </si>
  <si>
    <t>否</t>
  </si>
  <si>
    <t>现房</t>
  </si>
  <si>
    <t>项目局部</t>
  </si>
  <si>
    <t>成本法</t>
  </si>
  <si>
    <t>总价</t>
  </si>
  <si>
    <t>成本比率</t>
  </si>
  <si>
    <t>办公</t>
    <phoneticPr fontId="7" type="noConversion"/>
  </si>
  <si>
    <t>商业</t>
    <phoneticPr fontId="7" type="noConversion"/>
  </si>
  <si>
    <t>自定义容积率</t>
  </si>
  <si>
    <t>楼层修正</t>
  </si>
  <si>
    <t>未包含在土地购买价格中</t>
  </si>
  <si>
    <t>全部缴纳</t>
  </si>
  <si>
    <t>已包含在土地取得成本中</t>
  </si>
  <si>
    <t>收益法办公</t>
  </si>
  <si>
    <t>收益法办公</t>
    <phoneticPr fontId="16"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</si>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</sst>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估价对象为北京市房地产，为所有。根据《国有土地使用证》[]，估价对象（分摊）出让国有建设用地使用权面积为0平方米，建筑面积为9035.91平方米。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估价对象为北京市房地产,属开发建设的，该项目尚在开发建设中。根据《国有土地使用证》[]，估价对象（分摊）出让国有建设用地使用权面积为0平方米，规划建筑面积为9035.91平方米。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2024年9月18日</v>
      </c>
    </row>
    <row r="13" spans="1:2">
      <c r="A13" s="1119" t="s">
        <v>529</v>
      </c>
      <c r="B13" s="1120" t="str">
        <f>'预评函-1'!A18</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21945</v>
      </c>
    </row>
    <row r="21" spans="1:2">
      <c r="A21" s="1119" t="s">
        <v>537</v>
      </c>
      <c r="B21" s="1120" t="e">
        <f ca="1">'预评函-2'!D7</f>
        <v>#DIV/0!</v>
      </c>
    </row>
    <row r="22" spans="1:2">
      <c r="A22" s="1119" t="s">
        <v>538</v>
      </c>
      <c r="B22" s="1120" t="str">
        <f ca="1">'预评函-2'!D6</f>
        <v>贰亿壹仟玖佰肆拾伍万元整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21945</v>
      </c>
    </row>
    <row r="31" spans="1:2">
      <c r="A31" s="1119" t="s">
        <v>576</v>
      </c>
      <c r="B31" s="1120" t="e">
        <f ca="1">'预评函-2'!D15</f>
        <v>#DIV/0!</v>
      </c>
    </row>
    <row r="32" spans="1:2">
      <c r="A32" s="1119" t="s">
        <v>543</v>
      </c>
      <c r="B32" s="1120" t="str">
        <f ca="1">'预评函-2'!D14</f>
        <v>贰亿壹仟玖佰肆拾伍万元整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9035.91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16985</v>
      </c>
    </row>
    <row r="48" spans="1:2">
      <c r="A48" s="1119" t="s">
        <v>549</v>
      </c>
      <c r="B48" s="1120" t="e">
        <f ca="1">'预评函-3'!E4</f>
        <v>#DIV/0!</v>
      </c>
    </row>
    <row r="49" spans="1:2">
      <c r="A49" s="1119" t="s">
        <v>550</v>
      </c>
      <c r="B49" s="1120" t="str">
        <f ca="1">'预评函-3'!D5</f>
        <v>壹亿陆仟玖佰捌拾伍万元整</v>
      </c>
    </row>
    <row r="50" spans="1:2">
      <c r="A50" s="1119" t="s">
        <v>574</v>
      </c>
      <c r="B50" s="1120" t="str">
        <f>'预评函-3'!F2</f>
        <v>在建建筑物价值</v>
      </c>
    </row>
    <row r="51" spans="1:2">
      <c r="A51" s="1119" t="s">
        <v>551</v>
      </c>
      <c r="B51" s="1120">
        <f ca="1">'预评函-3'!F4</f>
        <v>4960</v>
      </c>
    </row>
    <row r="52" spans="1:2">
      <c r="A52" s="1119" t="s">
        <v>552</v>
      </c>
      <c r="B52" s="1120" t="e">
        <f ca="1">'预评函-3'!G4</f>
        <v>#DIV/0!</v>
      </c>
    </row>
    <row r="53" spans="1:2">
      <c r="A53" s="1119" t="s">
        <v>580</v>
      </c>
      <c r="B53" s="1120" t="str">
        <f ca="1">'预评函-3'!F5</f>
        <v>肆仟玖佰陆拾万元整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G20" sqref="G20"/>
    </sheetView>
  </sheetViews>
  <sheetFormatPr defaultRowHeight="13.5"/>
  <sheetData/>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W127"/>
  <sheetViews>
    <sheetView workbookViewId="0">
      <selection activeCell="H17" sqref="H1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3415</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86" t="s">
        <v>2582</v>
      </c>
      <c r="J2" s="3186"/>
      <c r="K2" s="3186"/>
      <c r="L2" s="3186"/>
      <c r="M2" s="3186"/>
      <c r="N2" s="3186"/>
      <c r="O2" s="3186"/>
      <c r="P2" s="3186"/>
      <c r="Q2" s="3186"/>
      <c r="R2" s="3186"/>
    </row>
    <row r="3" spans="1:18">
      <c r="A3" s="2763" t="s">
        <v>2503</v>
      </c>
      <c r="B3" s="2764">
        <f>项目基本情况!D3</f>
        <v>45553</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2.25</v>
      </c>
      <c r="D5" s="2768">
        <f>IF(ISERROR(ROUND(POWER(1+E5,A5-C5)*(POWER(1+E5,C5)-1)/(POWER(1+E5,A5)-1),3)),0,ROUND(POWER(1+E5,A5-C5)*(POWER(1+E5,C5)-1)/(POWER(1+E5,A5)-1),4))</f>
        <v>0.1067</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12.26</v>
      </c>
      <c r="D6" s="2768">
        <f>IF(ISERROR(ROUND(POWER(1+E6,A6-C6)*(POWER(1+E6,C6)-1)/(POWER(1+E6,A6)-1),3)),0,ROUND(POWER(1+E6,A6-C6)*(POWER(1+E6,C6)-1)/(POWER(1+E6,A6)-1),4))</f>
        <v>0.44429999999999997</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32.270000000000003</v>
      </c>
      <c r="D7" s="2768">
        <f>IF(ISERROR(ROUND(POWER(1+E7,A7-C7)*(POWER(1+E7,C7)-1)/(POWER(1+E7,A7)-1),3)),0,ROUND(POWER(1+E7,A7-C7)*(POWER(1+E7,C7)-1)/(POWER(1+E7,A7)-1),4))</f>
        <v>0.76719999999999999</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topLeftCell="A10" zoomScale="80" zoomScaleNormal="100" zoomScaleSheetLayoutView="80" workbookViewId="0">
      <selection activeCell="L37" sqref="L3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45553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3388</v>
      </c>
      <c r="C8" s="2201"/>
      <c r="D8" s="3197" t="s">
        <v>2177</v>
      </c>
      <c r="E8" s="2202"/>
      <c r="F8" s="2203"/>
      <c r="G8" s="2442"/>
      <c r="H8" s="2442"/>
      <c r="I8" s="2442"/>
      <c r="J8" s="2245"/>
      <c r="K8" s="2400"/>
      <c r="L8" s="2399"/>
      <c r="M8" s="2399"/>
      <c r="N8" s="2245"/>
      <c r="O8" s="1670"/>
      <c r="P8" s="2245"/>
      <c r="Q8" s="2245"/>
      <c r="R8" s="2245"/>
    </row>
    <row r="9" spans="1:30" ht="13.5" thickBot="1">
      <c r="A9" s="2204" t="s">
        <v>2178</v>
      </c>
      <c r="B9" s="2205" t="s">
        <v>3389</v>
      </c>
      <c r="C9" s="2206"/>
      <c r="D9" s="3198"/>
      <c r="E9" s="2205"/>
      <c r="F9" s="2207"/>
      <c r="G9" s="2443"/>
      <c r="H9" s="2443"/>
      <c r="I9" s="2443"/>
      <c r="J9" s="2245"/>
      <c r="K9" s="2402"/>
      <c r="L9" s="2399"/>
      <c r="M9" s="2399"/>
      <c r="N9" s="2245"/>
      <c r="O9" s="1670"/>
      <c r="P9" s="2245"/>
      <c r="Q9" s="2245"/>
      <c r="R9" s="2245"/>
    </row>
    <row r="10" spans="1:30" ht="13.5" thickTop="1">
      <c r="A10" s="2208" t="s">
        <v>2179</v>
      </c>
      <c r="B10" s="2209" t="s">
        <v>3386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v>53568</v>
      </c>
      <c r="E13" s="803">
        <v>57221</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21.95</v>
      </c>
      <c r="E15" s="2221">
        <f>IF(A13="出让",IF(E13="","",ROUNDDOWN(MIN((E13-$D$3)/365,E14),2)),E14)</f>
        <v>31.96</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9035.91</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2218</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87" t="s">
        <v>2228</v>
      </c>
      <c r="T34" s="315" t="str">
        <f>NUMBERSTRING(7-K34,1)&amp;"通"</f>
        <v>七通</v>
      </c>
      <c r="U34" s="2245"/>
      <c r="V34" s="2245"/>
    </row>
    <row r="35" spans="1:30">
      <c r="A35" s="2236"/>
      <c r="B35" s="3187" t="s">
        <v>2229</v>
      </c>
      <c r="C35" s="3187"/>
      <c r="D35" s="3187"/>
      <c r="E35" s="31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t="s">
        <v>110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177</v>
      </c>
      <c r="C38" s="2238" t="s">
        <v>177</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9035.91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9035.91</v>
      </c>
      <c r="H5" s="13">
        <f t="shared" ref="H5:AT5" si="0">SUM(H13:H656)</f>
        <v>9035.91</v>
      </c>
      <c r="I5" s="13">
        <f t="shared" si="0"/>
        <v>1505.9849999999999</v>
      </c>
      <c r="J5" s="13">
        <f t="shared" si="0"/>
        <v>0</v>
      </c>
      <c r="K5" s="13">
        <f t="shared" si="0"/>
        <v>6023.94</v>
      </c>
      <c r="L5" s="13">
        <f t="shared" si="0"/>
        <v>0</v>
      </c>
      <c r="M5" s="13">
        <f t="shared" si="0"/>
        <v>1505.9850000000006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9035.91</v>
      </c>
      <c r="BA5" s="15">
        <f t="shared" si="1"/>
        <v>9035.91</v>
      </c>
      <c r="BB5" s="15">
        <f t="shared" si="1"/>
        <v>1505.9849999999999</v>
      </c>
      <c r="BC5" s="15">
        <f t="shared" si="1"/>
        <v>6023.94</v>
      </c>
      <c r="BD5" s="15">
        <f t="shared" si="1"/>
        <v>1505.9850000000006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t="s">
        <v>3391</v>
      </c>
      <c r="L9" s="761"/>
      <c r="M9" s="1491" t="s">
        <v>3392</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1" t="s">
        <v>21</v>
      </c>
      <c r="L10" s="761"/>
      <c r="M10" s="1491" t="s">
        <v>21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办公</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9035.91</v>
      </c>
      <c r="C13" s="2244"/>
      <c r="D13" s="1513" t="s">
        <v>3390</v>
      </c>
      <c r="E13" s="13">
        <f>IF($C$3="是",ROUND($A$3*G13/$B$3,2),ROUND($A$3*(G13-AT13)/$B$3,2))</f>
        <v>0</v>
      </c>
      <c r="F13" s="29"/>
      <c r="G13" s="30">
        <f>H13+AC13+AT13</f>
        <v>9035.91</v>
      </c>
      <c r="H13" s="17">
        <f>SUMIF(I$12:AB$12,"总值",I13:AB13)</f>
        <v>9035.91</v>
      </c>
      <c r="I13" s="1514">
        <f>9035.91/6</f>
        <v>1505.9849999999999</v>
      </c>
      <c r="J13" s="1514"/>
      <c r="K13" s="1514">
        <f>I13*4</f>
        <v>6023.94</v>
      </c>
      <c r="L13" s="1514"/>
      <c r="M13" s="1514">
        <f>B13-I13-K13</f>
        <v>1505.9850000000006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9035.91</v>
      </c>
      <c r="AX13" s="8">
        <f t="shared" si="6"/>
        <v>0</v>
      </c>
      <c r="AY13" s="1260">
        <f>ROUND($AY$6*AZ13/$AZ$5,2)</f>
        <v>0</v>
      </c>
      <c r="AZ13" s="13">
        <f>BA13+BL13</f>
        <v>9035.91</v>
      </c>
      <c r="BA13" s="13">
        <f>SUM(BB13:BK13)</f>
        <v>9035.91</v>
      </c>
      <c r="BB13" s="13">
        <f>IF($D13="是",I13-J13,0)</f>
        <v>1505.9849999999999</v>
      </c>
      <c r="BC13" s="13">
        <f>IF($D13="是",K13-L13,0)</f>
        <v>6023.94</v>
      </c>
      <c r="BD13" s="13">
        <f>IF($D13="是",M13-N13,0)</f>
        <v>1505.9850000000006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2244"/>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2244"/>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2244"/>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2244"/>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44"/>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0</v>
      </c>
      <c r="E3" s="41">
        <f>'数据-基础表'!AZ5</f>
        <v>9035.91</v>
      </c>
      <c r="F3" s="2439"/>
      <c r="G3" s="42"/>
      <c r="H3" s="43" t="s">
        <v>1106</v>
      </c>
      <c r="I3" s="802" t="e">
        <f>ROUND('数据-基础表'!B3/'数据-基础表'!A3,2)</f>
        <v>#DIV/0!</v>
      </c>
      <c r="J3" s="2439"/>
      <c r="K3" s="2439"/>
      <c r="L3" s="2439"/>
      <c r="M3" s="2439"/>
      <c r="N3" s="2440"/>
      <c r="O3" s="2439"/>
      <c r="P3" s="2439"/>
    </row>
    <row r="4" spans="1:16" ht="15">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f>ROUND($D$3*E6/$E$3,2)</f>
        <v>0</v>
      </c>
      <c r="E6" s="44">
        <f>E3-E5</f>
        <v>9035.91</v>
      </c>
      <c r="F6" s="2439"/>
      <c r="G6" s="1529" t="s">
        <v>1112</v>
      </c>
      <c r="H6" s="45" t="s">
        <v>1113</v>
      </c>
      <c r="I6" s="2435" t="e">
        <f>ROUND(F31/D31,2)</f>
        <v>#DIV/0!</v>
      </c>
      <c r="J6" s="2439"/>
      <c r="K6" s="2439"/>
      <c r="L6" s="2439"/>
      <c r="M6" s="2439"/>
      <c r="N6" s="2439"/>
      <c r="O6" s="2439"/>
      <c r="P6" s="2439"/>
    </row>
    <row r="7" spans="1:16" ht="15.75" thickBot="1">
      <c r="A7" s="3222"/>
      <c r="B7" s="3223"/>
      <c r="C7" s="3224"/>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7529.9249999999993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1505.9850000000006</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9035.91</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3407</v>
      </c>
      <c r="D19" s="43">
        <f>ROUND($D$3*E19/$E$3,2)</f>
        <v>0</v>
      </c>
      <c r="E19" s="51">
        <f t="shared" ref="E19:E26" si="1">SUM(F19:G19)</f>
        <v>7529.9250000000002</v>
      </c>
      <c r="F19" s="2558">
        <f>'数据-基础表'!K13</f>
        <v>6023.94</v>
      </c>
      <c r="G19" s="1243">
        <f>'数据-基础表'!M13</f>
        <v>1505.9850000000006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7529.9250000000002</v>
      </c>
    </row>
    <row r="20" spans="1:19">
      <c r="A20" s="1549"/>
      <c r="B20" s="45" t="s">
        <v>1153</v>
      </c>
      <c r="C20" s="3116" t="s">
        <v>3408</v>
      </c>
      <c r="D20" s="43">
        <f t="shared" ref="D20:D26" si="6">ROUND($D$3*E20/$E$3,2)</f>
        <v>0</v>
      </c>
      <c r="E20" s="51">
        <f t="shared" si="1"/>
        <v>1505.9849999999999</v>
      </c>
      <c r="F20" s="2558">
        <f>'数据-基础表'!I13</f>
        <v>1505.9849999999999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1505.9849999999999</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9035.91</v>
      </c>
      <c r="F27" s="1072">
        <f>IF(SUM(F19:F26)=E8,SUM(F19:F26),"地上面积有误")</f>
        <v>7529.9249999999993</v>
      </c>
      <c r="G27" s="1074">
        <f>SUM(G19:G26)</f>
        <v>1505.9850000000006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9035.91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9035.91</v>
      </c>
      <c r="F31" s="644">
        <f>F27+F30</f>
        <v>7529.9249999999993</v>
      </c>
      <c r="G31" s="645">
        <f>G27+G30</f>
        <v>1505.9850000000006</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45553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57221</v>
      </c>
      <c r="F6" s="61">
        <f>SUMIF(项目基本情况!C$12:I$12,C6,项目基本情况!C$15:I$15)</f>
        <v>31.96</v>
      </c>
      <c r="G6" s="62">
        <f>IF(ISERROR(ROUND(POWER(1+H6,D6-F6)*(POWER(1+H6,F6)-1)/(POWER(1+H6,D6)-1),3)),0,ROUND(POWER(1+H6,D6-F6)*(POWER(1+H6,F6)-1)/(POWER(1+H6,D6)-1),3))</f>
        <v>0.86499999999999999</v>
      </c>
      <c r="H6" s="691">
        <v>0.05</v>
      </c>
      <c r="I6" s="691">
        <v>5.5E-2</v>
      </c>
      <c r="J6" s="63">
        <v>7.0000000000000007E-2</v>
      </c>
      <c r="K6" s="970">
        <f>SUMIF('数据-汇总表'!C$19:C$33,A6,'数据-汇总表'!E$19:E$33)</f>
        <v>7529.9250000000002</v>
      </c>
      <c r="L6" s="692">
        <v>4500</v>
      </c>
      <c r="M6" s="64">
        <f t="shared" ref="M6:M14" si="0">ROUND(K6*L6/10000,0)</f>
        <v>3388</v>
      </c>
      <c r="N6" s="690">
        <f>1-(2024-2012)/60</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5</v>
      </c>
      <c r="V6" s="67">
        <v>0.02</v>
      </c>
      <c r="W6" s="67">
        <v>0.1</v>
      </c>
      <c r="X6" s="979"/>
      <c r="Y6" s="68">
        <f>N6</f>
        <v>0.8</v>
      </c>
      <c r="Z6" s="69"/>
      <c r="AA6" s="63"/>
      <c r="AB6" s="63"/>
      <c r="AC6" s="979"/>
      <c r="AD6" s="70"/>
      <c r="AE6" s="980">
        <f ca="1">IF(AN6="",0,SUMIF(INDIRECT("'"&amp;AN6&amp;"'"&amp;"!E:E"),$AE$5,INDIRECT("'"&amp;AN6&amp;"'"&amp;"!F:F")))</f>
        <v>31.96</v>
      </c>
      <c r="AF6" s="74"/>
      <c r="AG6" s="130">
        <f>IF(AF6="",0,AE6-AF6)</f>
        <v>0</v>
      </c>
      <c r="AH6" s="71"/>
      <c r="AI6" s="73">
        <v>365</v>
      </c>
      <c r="AJ6" s="74"/>
      <c r="AK6" s="75">
        <v>0.01</v>
      </c>
      <c r="AL6" s="76">
        <v>1E-3</v>
      </c>
      <c r="AM6" s="77">
        <v>0.01</v>
      </c>
      <c r="AN6" s="1589" t="s">
        <v>3414</v>
      </c>
      <c r="AO6" s="50">
        <f ca="1">SUMIF(INDIRECT("'"&amp;AN6&amp;"'"&amp;"!A:A"),"总价",INDIRECT("'"&amp;AN6&amp;"'"&amp;"!B:B"))</f>
        <v>18405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53568</v>
      </c>
      <c r="F7" s="61">
        <f>SUMIF(项目基本情况!C$12:I$12,C7,项目基本情况!C$15:I$15)</f>
        <v>21.95</v>
      </c>
      <c r="G7" s="62">
        <f t="shared" ref="G7:G11" si="2">IF(ISERROR(ROUND(POWER(1+H7,D7-F7)*(POWER(1+H7,F7)-1)/(POWER(1+H7,D7)-1),3)),0,ROUND(POWER(1+H7,D7-F7)*(POWER(1+H7,F7)-1)/(POWER(1+H7,D7)-1),3))</f>
        <v>0.76600000000000001</v>
      </c>
      <c r="H7" s="691">
        <v>0.05</v>
      </c>
      <c r="I7" s="691">
        <v>5.5E-2</v>
      </c>
      <c r="J7" s="63">
        <v>7.0000000000000007E-2</v>
      </c>
      <c r="K7" s="970">
        <f>SUMIF('数据-汇总表'!C$19:C$33,A7,'数据-汇总表'!E$19:E$33)</f>
        <v>1505.9849999999999</v>
      </c>
      <c r="L7" s="692">
        <f>L6</f>
        <v>4500</v>
      </c>
      <c r="M7" s="64">
        <f t="shared" si="0"/>
        <v>678</v>
      </c>
      <c r="N7" s="690">
        <f>N6</f>
        <v>0.8</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7.5</v>
      </c>
      <c r="V7" s="67">
        <v>0.02</v>
      </c>
      <c r="W7" s="67">
        <v>0.1</v>
      </c>
      <c r="X7" s="979"/>
      <c r="Y7" s="68">
        <f>Y6</f>
        <v>0.8</v>
      </c>
      <c r="Z7" s="69"/>
      <c r="AA7" s="63"/>
      <c r="AB7" s="63"/>
      <c r="AC7" s="979"/>
      <c r="AD7" s="70"/>
      <c r="AE7" s="980">
        <f t="shared" ref="AE7:AE13" ca="1" si="6">IF(AN7="",0,SUMIF(INDIRECT("'"&amp;AN7&amp;"'"&amp;"!E:E"),$AE$5,INDIRECT("'"&amp;AN7&amp;"'"&amp;"!F:F")))</f>
        <v>21.95</v>
      </c>
      <c r="AF7" s="74"/>
      <c r="AG7" s="130">
        <f t="shared" ref="AG7:AG13" si="7">IF(AF7="",0,AE7-AF7)</f>
        <v>0</v>
      </c>
      <c r="AH7" s="71"/>
      <c r="AI7" s="73">
        <v>365</v>
      </c>
      <c r="AJ7" s="74"/>
      <c r="AK7" s="75">
        <f>AK6</f>
        <v>0.01</v>
      </c>
      <c r="AL7" s="75">
        <f t="shared" ref="AL7:AM7" si="8">AL6</f>
        <v>1E-3</v>
      </c>
      <c r="AM7" s="75">
        <f t="shared" si="8"/>
        <v>0.01</v>
      </c>
      <c r="AN7" s="1589" t="s">
        <v>3394</v>
      </c>
      <c r="AO7" s="50">
        <f t="shared" ref="AO7:AO13" ca="1" si="9">SUMIF(INDIRECT("'"&amp;AN7&amp;"'"&amp;"!A:A"),"总价",INDIRECT("'"&amp;AN7&amp;"'"&amp;"!B:B"))</f>
        <v>4485</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9"/>
        <v>#REF!</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0.84899999999999998</v>
      </c>
      <c r="H16" s="84">
        <f>ROUND(SUMPRODUCT(H6:H13,K6:K13)/SUMPRODUCT((H6:H13&gt;0)*(K6:K13)),3)</f>
        <v>0.05</v>
      </c>
      <c r="I16" s="85"/>
      <c r="J16" s="85"/>
      <c r="K16" s="86">
        <f>SUM(K6:K15)</f>
        <v>9035.91</v>
      </c>
      <c r="L16" s="87">
        <f>ROUND(M16*10000/SUM(K6:K14),0)</f>
        <v>4500</v>
      </c>
      <c r="M16" s="87">
        <f>SUM(M6:M14)</f>
        <v>4066</v>
      </c>
      <c r="N16" s="88">
        <f>ROUND(SUMPRODUCT(M6:M14,N6:N14)/M16,3)</f>
        <v>0.8</v>
      </c>
      <c r="O16" s="87">
        <f>SUM(O6:O14)</f>
        <v>0</v>
      </c>
      <c r="P16" s="87">
        <f>SUM(P6:P14)</f>
        <v>0</v>
      </c>
      <c r="Q16" s="89">
        <f>ROUND(SUMPRODUCT(Q6:Q13,K6:K13)/SUMPRODUCT((Q6:Q13&gt;0)*(K6:K13)),2)</f>
        <v>0.16</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181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3.3500000000000002E-2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9035.91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45553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21945</v>
      </c>
      <c r="C5" s="2300" t="e">
        <f ca="1">IF(B5=D14,结果表!H102,ROUND(B5*10000/$B$1,0))</f>
        <v>#DIV/0!</v>
      </c>
      <c r="D5" s="2300" t="e">
        <f ca="1">ROUND(B5*10000/$B$2,0)</f>
        <v>#DIV/0!</v>
      </c>
      <c r="E5" s="2462"/>
      <c r="F5" s="2463"/>
      <c r="G5" s="2463"/>
      <c r="H5" s="2463"/>
      <c r="I5" s="2463"/>
      <c r="J5" s="2463"/>
      <c r="K5" s="2463"/>
    </row>
    <row r="6" spans="1:11" ht="16.5">
      <c r="A6" s="2300" t="s">
        <v>656</v>
      </c>
      <c r="B6" s="2300">
        <f ca="1">SUM(G14:G23)</f>
        <v>21945</v>
      </c>
      <c r="C6" s="2300" t="e">
        <f ca="1">IF(B6=G14,结果表!H108,ROUND(B6*10000/$B$1,0))</f>
        <v>#DIV/0!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3358</v>
      </c>
      <c r="D10" s="2300" t="s">
        <v>3359</v>
      </c>
      <c r="E10" s="3137"/>
      <c r="F10" s="3141" t="s">
        <v>3360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9035.91</v>
      </c>
      <c r="C14" s="2306">
        <f>结果表!C118</f>
        <v>0</v>
      </c>
      <c r="D14" s="2306">
        <f ca="1">结果表!H118</f>
        <v>21945</v>
      </c>
      <c r="E14" s="2306">
        <f ca="1">ROUND(D14*10000/B14,0)</f>
        <v>24286</v>
      </c>
      <c r="F14" s="2306" t="e">
        <f ca="1">ROUND(D14*10000/C14,0)</f>
        <v>#DIV/0!</v>
      </c>
      <c r="G14" s="2306">
        <f ca="1">D14</f>
        <v>21945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6" zoomScaleNormal="100" zoomScaleSheetLayoutView="100" zoomScalePageLayoutView="80" workbookViewId="0">
      <selection activeCell="G19" sqref="G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3385</v>
      </c>
      <c r="D1" s="646"/>
      <c r="E1" s="646"/>
      <c r="F1" s="1621" t="s">
        <v>1263</v>
      </c>
      <c r="G1" s="1453" t="s">
        <v>3402</v>
      </c>
      <c r="H1" s="1621" t="str">
        <f>IF(G1="现房","——","估价对象范围")</f>
        <v>——</v>
      </c>
      <c r="I1" s="1622" t="s">
        <v>3403</v>
      </c>
    </row>
    <row r="2" spans="1:12" ht="21.75" customHeight="1" thickBot="1">
      <c r="A2" s="3267" t="str">
        <f>项目基本情况!S2</f>
        <v>北京市房地产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3404</v>
      </c>
      <c r="D4" s="1626" t="s">
        <v>3416</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5</v>
      </c>
      <c r="D14" s="3270">
        <v>5</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57" t="s">
        <v>2131</v>
      </c>
      <c r="F18" s="3258"/>
      <c r="G18" s="3258"/>
      <c r="H18" s="3258"/>
      <c r="I18" s="325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SUMIF(INDIRECT("'"&amp;C4&amp;"'"&amp;"!A:A"),结果表!B19,INDIRECT("'"&amp;C4&amp;"'"&amp;"!B:B"))</f>
        <v>20999</v>
      </c>
      <c r="D19" s="127">
        <f ca="1">SUMIF(INDIRECT("'"&amp;D4&amp;"'"&amp;"!A:A"),结果表!B19,INDIRECT("'"&amp;D4&amp;"'"&amp;"!B:B"))</f>
        <v>22890</v>
      </c>
      <c r="E19" s="1630" t="s">
        <v>1292</v>
      </c>
      <c r="F19" s="1631" t="s">
        <v>1291</v>
      </c>
      <c r="G19" s="128">
        <f ca="1">ROUND(C19*$C$18+D19*$D$18,0)</f>
        <v>21945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23239</v>
      </c>
      <c r="D20" s="130">
        <f ca="1">SUMIF(INDIRECT("'"&amp;D4&amp;"'"&amp;"!A:A"),结果表!B20,INDIRECT("'"&amp;D4&amp;"'"&amp;"!B:B"))</f>
        <v>25332</v>
      </c>
      <c r="E20" s="1633"/>
      <c r="F20" s="43" t="s">
        <v>1295</v>
      </c>
      <c r="G20" s="131">
        <f ca="1">ROUND(C20*$C$18+D20*$D$18,0)</f>
        <v>24286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9.0051907233677841E-2</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21945</v>
      </c>
      <c r="D32" s="1641" t="s">
        <v>3405</v>
      </c>
      <c r="E32" s="121"/>
      <c r="F32" s="121"/>
      <c r="G32" s="121"/>
      <c r="H32" s="121"/>
      <c r="I32" s="121"/>
    </row>
    <row r="33" spans="1:15" ht="15">
      <c r="A33" s="740" t="s">
        <v>1306</v>
      </c>
      <c r="B33" s="123"/>
      <c r="C33" s="1642" t="s">
        <v>3406</v>
      </c>
      <c r="D33" s="1643" t="s">
        <v>3404</v>
      </c>
      <c r="E33" s="1644" t="s">
        <v>1307</v>
      </c>
      <c r="F33" s="1645" t="str">
        <f>IF(D32="楼面单价","取值（单价）","取值（总价）")</f>
        <v>取值（总价）</v>
      </c>
      <c r="G33" s="121"/>
      <c r="H33" s="121"/>
      <c r="I33" s="121"/>
    </row>
    <row r="34" spans="1:15" ht="15">
      <c r="A34" s="1646"/>
      <c r="B34" s="1647" t="s">
        <v>1308</v>
      </c>
      <c r="C34" s="140">
        <f ca="1">IF(C33="自定义",F34,C32-C35)</f>
        <v>16985</v>
      </c>
      <c r="D34" s="808">
        <f ca="1">IF(C33="自定义",ROUND(C34/C32,3),IF(C33="收益比率",SUMIF(INDIRECT("'"&amp;D33&amp;"'"&amp;"!b:b"),"土地收益比率",INDIRECT("'"&amp;D33&amp;"'"&amp;"!c:c")),SUMIF(INDIRECT("'"&amp;D33&amp;"'"&amp;"!b:b"),"土地成本比率",INDIRECT("'"&amp;D33&amp;"'"&amp;"!c:c"))))</f>
        <v>0.77400000000000002</v>
      </c>
      <c r="E34" s="1648" t="s">
        <v>1309</v>
      </c>
      <c r="F34" s="1243"/>
      <c r="G34" s="121"/>
      <c r="H34" s="121"/>
      <c r="I34" s="121"/>
    </row>
    <row r="35" spans="1:15" ht="15.75" thickBot="1">
      <c r="A35" s="1649"/>
      <c r="B35" s="1650" t="s">
        <v>1310</v>
      </c>
      <c r="C35" s="1090">
        <f ca="1">IF(C33="自定义",F35,ROUND(C32*D35,0))</f>
        <v>4960</v>
      </c>
      <c r="D35" s="1091">
        <f ca="1">IF(C33="自定义",ROUND(C35/C32,3),IF(C33="收益比率",SUMIF(INDIRECT("'"&amp;D33&amp;"'"&amp;"!b:b"),"建筑物收益比率",INDIRECT("'"&amp;D33&amp;"'"&amp;"!c:c")),SUMIF(INDIRECT("'"&amp;D33&amp;"'"&amp;"!b:b"),"建筑物成本比率",INDIRECT("'"&amp;D33&amp;"'"&amp;"!c:c"))))</f>
        <v>0.22600000000000001</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f ca="1">ROUND(H101*F45,0)</f>
        <v>21945</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45553</v>
      </c>
      <c r="N47" s="3318"/>
      <c r="O47" s="3318"/>
    </row>
    <row r="48" spans="1:15" ht="25.5">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7" t="s">
        <v>1340</v>
      </c>
      <c r="L48" s="3297"/>
      <c r="M48" s="3319">
        <f ca="1">H101</f>
        <v>21945</v>
      </c>
      <c r="N48" s="3319"/>
      <c r="O48" s="3319"/>
    </row>
    <row r="49" spans="1:35" ht="25.5" customHeight="1">
      <c r="A49" s="2152" t="s">
        <v>1341</v>
      </c>
      <c r="B49" s="3233" t="s">
        <v>1342</v>
      </c>
      <c r="C49" s="3233"/>
      <c r="D49" s="1478">
        <v>0</v>
      </c>
      <c r="E49" s="316" t="s">
        <v>1343</v>
      </c>
      <c r="F49" s="2233" t="s">
        <v>28</v>
      </c>
      <c r="G49" s="3303"/>
      <c r="H49" s="2134" t="s">
        <v>2134</v>
      </c>
      <c r="I49" s="2135"/>
      <c r="J49" s="2310">
        <v>4</v>
      </c>
      <c r="K49" s="3297" t="str">
        <f>IF(项目基本情况!E8="房地产抵押价值","房地产抵押价值","抵押担保权已注销时的房地产抵押价值")</f>
        <v>抵押担保权已注销时的房地产抵押价值</v>
      </c>
      <c r="L49" s="3297"/>
      <c r="M49" s="3319" t="str">
        <f>IF(项目基本情况!E8="房地产抵押价值",H107,H109)</f>
        <v>——</v>
      </c>
      <c r="N49" s="3319"/>
      <c r="O49" s="3319"/>
    </row>
    <row r="50" spans="1:35" ht="25.5" customHeight="1">
      <c r="A50" s="2338"/>
      <c r="B50" s="3233" t="s">
        <v>1344</v>
      </c>
      <c r="C50" s="3233"/>
      <c r="D50" s="2189"/>
      <c r="E50" s="323"/>
      <c r="F50" s="2233"/>
      <c r="G50" s="3304"/>
      <c r="H50" s="2136" t="s">
        <v>2135</v>
      </c>
      <c r="I50" s="2135"/>
      <c r="J50" s="3316" t="s">
        <v>1345</v>
      </c>
      <c r="K50" s="3316"/>
      <c r="L50" s="3316"/>
      <c r="M50" s="3316"/>
      <c r="N50" s="3316"/>
      <c r="O50" s="3316"/>
    </row>
    <row r="51" spans="1:35" ht="20.45" customHeight="1">
      <c r="A51" s="2339"/>
      <c r="B51" s="3233" t="s">
        <v>1346</v>
      </c>
      <c r="C51" s="3233"/>
      <c r="D51" s="1024"/>
      <c r="E51" s="319"/>
      <c r="F51" s="2233"/>
      <c r="G51" s="3305"/>
      <c r="H51" s="2136" t="s">
        <v>2136</v>
      </c>
      <c r="I51" s="2135"/>
      <c r="J51" s="2311" t="s">
        <v>1347</v>
      </c>
      <c r="K51" s="3297" t="s">
        <v>1348</v>
      </c>
      <c r="L51" s="3297"/>
      <c r="M51" s="2311" t="s">
        <v>1349</v>
      </c>
      <c r="N51" s="2311" t="s">
        <v>1350</v>
      </c>
      <c r="O51" s="2311" t="s">
        <v>1351</v>
      </c>
    </row>
    <row r="52" spans="1:35" ht="24" customHeight="1">
      <c r="A52" s="2153" t="s">
        <v>1352</v>
      </c>
      <c r="B52" s="3233" t="s">
        <v>1353</v>
      </c>
      <c r="C52" s="3233"/>
      <c r="D52" s="1024">
        <f ca="1">ROUND(D45*'数据-取费表'!B41/(1+'数据-取费表'!C42),0)</f>
        <v>1170</v>
      </c>
      <c r="E52" s="1256" t="s">
        <v>1354</v>
      </c>
      <c r="F52" s="2340">
        <f>'数据-取费表'!B41</f>
        <v>5.6000000000000001E-2</v>
      </c>
      <c r="G52" s="2341"/>
      <c r="H52" s="2331"/>
      <c r="I52" s="1669"/>
      <c r="J52" s="2310">
        <v>1</v>
      </c>
      <c r="K52" s="3298" t="s">
        <v>1355</v>
      </c>
      <c r="L52" s="3298"/>
      <c r="M52" s="2312" t="b">
        <f>D48</f>
        <v>0</v>
      </c>
      <c r="N52" s="2310" t="str">
        <f>E48</f>
        <v>销售额×税（费）率</v>
      </c>
      <c r="O52" s="2313">
        <f>F48</f>
        <v>5.6000000000000001E-2</v>
      </c>
    </row>
    <row r="53" spans="1:35" ht="12" customHeight="1">
      <c r="A53" s="2153" t="s">
        <v>1356</v>
      </c>
      <c r="B53" s="3259" t="s">
        <v>2291</v>
      </c>
      <c r="C53" s="3260"/>
      <c r="D53" s="1024">
        <f ca="1">ROUND(D45*'数据-取费表'!B41/(1+'数据-取费表'!C42),0)</f>
        <v>1170</v>
      </c>
      <c r="E53" s="1256" t="s">
        <v>1354</v>
      </c>
      <c r="F53" s="2340">
        <f>'数据-取费表'!B41</f>
        <v>5.6000000000000001E-2</v>
      </c>
      <c r="G53" s="2341"/>
      <c r="H53" s="2331"/>
      <c r="I53" s="1669"/>
      <c r="J53" s="2310">
        <v>2</v>
      </c>
      <c r="K53" s="3298" t="s">
        <v>1357</v>
      </c>
      <c r="L53" s="3298"/>
      <c r="M53" s="2312">
        <f t="shared" ref="M53:O54" ca="1" si="0">D55</f>
        <v>11</v>
      </c>
      <c r="N53" s="2310" t="str">
        <f t="shared" si="0"/>
        <v>销售额×税（费）率</v>
      </c>
      <c r="O53" s="2313" t="str">
        <f t="shared" si="0"/>
        <v>免征</v>
      </c>
    </row>
    <row r="54" spans="1:35" ht="12" customHeight="1">
      <c r="A54" s="2153" t="s">
        <v>1358</v>
      </c>
      <c r="B54" s="3259" t="s">
        <v>2292</v>
      </c>
      <c r="C54" s="3260"/>
      <c r="D54" s="1024">
        <f ca="1">C68</f>
        <v>1170</v>
      </c>
      <c r="E54" s="319" t="s">
        <v>1359</v>
      </c>
      <c r="F54" s="2340">
        <f>'数据-取费表'!B41</f>
        <v>5.6000000000000001E-2</v>
      </c>
      <c r="G54" s="2341"/>
      <c r="H54" s="2342"/>
      <c r="I54" s="1669"/>
      <c r="J54" s="2310">
        <v>3</v>
      </c>
      <c r="K54" s="3298" t="s">
        <v>1360</v>
      </c>
      <c r="L54" s="3298"/>
      <c r="M54" s="2312">
        <f t="shared" ca="1" si="0"/>
        <v>12421</v>
      </c>
      <c r="N54" s="2310" t="str">
        <f t="shared" si="0"/>
        <v>增值额×税（费）率</v>
      </c>
      <c r="O54" s="2314" t="str">
        <f t="shared" si="0"/>
        <v>免征</v>
      </c>
    </row>
    <row r="55" spans="1:35" ht="24" customHeight="1">
      <c r="A55" s="3248" t="s">
        <v>1361</v>
      </c>
      <c r="B55" s="3249"/>
      <c r="C55" s="3249"/>
      <c r="D55" s="12">
        <f ca="1">IF(H55="个人住宅",0,ROUND(D45*I55,0))</f>
        <v>11</v>
      </c>
      <c r="E55" s="1256" t="s">
        <v>1362</v>
      </c>
      <c r="F55" s="2340" t="str">
        <f>IF(H55="正常",I55,"免征")</f>
        <v>免征</v>
      </c>
      <c r="G55" s="2341"/>
      <c r="H55" s="2337"/>
      <c r="I55" s="157">
        <f>'数据-取费表'!B49</f>
        <v>5.0000000000000001E-4</v>
      </c>
      <c r="J55" s="2310">
        <f>IF(H59="非个人房产","",4)</f>
        <v>4</v>
      </c>
      <c r="K55" s="3298" t="str">
        <f>IF(H59="非个人房产","——","个人所得税")</f>
        <v>个人所得税</v>
      </c>
      <c r="L55" s="3298"/>
      <c r="M55" s="2315">
        <f ca="1">D59</f>
        <v>209</v>
      </c>
      <c r="N55" s="1883" t="str">
        <f>E59</f>
        <v>差额计税</v>
      </c>
      <c r="O55" s="2316">
        <f>F59</f>
        <v>0.01</v>
      </c>
    </row>
    <row r="56" spans="1:35" ht="24.75">
      <c r="A56" s="3248" t="s">
        <v>1363</v>
      </c>
      <c r="B56" s="3249"/>
      <c r="C56" s="3249"/>
      <c r="D56" s="12">
        <f ca="1">IF(H56="个人住宅",D57,D58)</f>
        <v>12421</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12641</v>
      </c>
      <c r="O57" s="2320"/>
      <c r="P57" s="2465" t="e">
        <f ca="1">N57/M49</f>
        <v>#VALUE!</v>
      </c>
    </row>
    <row r="58" spans="1:35" ht="24.75">
      <c r="A58" s="2153" t="s">
        <v>1352</v>
      </c>
      <c r="B58" s="3259" t="s">
        <v>1369</v>
      </c>
      <c r="C58" s="3233"/>
      <c r="D58" s="12">
        <f ca="1">IF(H58="转让取得",C81,C97)</f>
        <v>12421</v>
      </c>
      <c r="E58" s="1256" t="s">
        <v>1364</v>
      </c>
      <c r="F58" s="294" t="s">
        <v>28</v>
      </c>
      <c r="G58" s="2341"/>
      <c r="H58" s="2344"/>
      <c r="I58" s="1670"/>
      <c r="J58" s="3298"/>
      <c r="K58" s="3298"/>
      <c r="L58" s="2317" t="s">
        <v>1370</v>
      </c>
      <c r="M58" s="2321"/>
      <c r="N58" s="2322" t="str">
        <f ca="1">NUMBERSTRING(INT(N57*10000),2)&amp;"元整"</f>
        <v>壹亿贰仟陆佰肆拾壹万元整</v>
      </c>
      <c r="O58" s="2323"/>
    </row>
    <row r="59" spans="1:35" ht="24.75" thickBot="1">
      <c r="A59" s="3301" t="s">
        <v>1371</v>
      </c>
      <c r="B59" s="3302"/>
      <c r="C59" s="3302"/>
      <c r="D59" s="2346">
        <f ca="1">IF(H59="非个人房产","——",IF(H59="个人住宅（满五唯一有凭证）",0,IF(H59="个人其他（无凭证）",ROUND(D45*F59,0),ROUND(C67*F59,0))))</f>
        <v>209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8" t="s">
        <v>1372</v>
      </c>
      <c r="L59" s="2310" t="s">
        <v>1368</v>
      </c>
      <c r="M59" s="2324"/>
      <c r="N59" s="2325" t="e">
        <f ca="1">M49-N57</f>
        <v>#VALUE!</v>
      </c>
      <c r="O59" s="2326"/>
    </row>
    <row r="60" spans="1:35" ht="12" customHeight="1">
      <c r="A60" s="1671"/>
      <c r="B60" s="646"/>
      <c r="C60" s="646"/>
      <c r="D60" s="646"/>
      <c r="E60" s="1466"/>
      <c r="F60" s="1670"/>
      <c r="G60" s="1670"/>
      <c r="H60" s="151"/>
      <c r="I60" s="121"/>
      <c r="J60" s="3300"/>
      <c r="K60" s="3298"/>
      <c r="L60" s="2317" t="s">
        <v>1370</v>
      </c>
      <c r="M60" s="2321"/>
      <c r="N60" s="2322" t="e">
        <f ca="1">NUMBERSTRING(INT(N59*10000),2)&amp;"元整"</f>
        <v>#VALUE!</v>
      </c>
      <c r="O60" s="2323"/>
    </row>
    <row r="61" spans="1:35" ht="13.5" thickBot="1">
      <c r="A61" s="3246" t="s">
        <v>1373</v>
      </c>
      <c r="B61" s="3246"/>
      <c r="C61" s="3246"/>
      <c r="D61" s="3246"/>
      <c r="E61" s="3246"/>
      <c r="F61" s="1670"/>
      <c r="G61" s="1670"/>
      <c r="H61" s="151"/>
      <c r="I61" s="121"/>
      <c r="J61" s="2310">
        <f>J59+1</f>
        <v>7</v>
      </c>
      <c r="K61" s="3298" t="s">
        <v>1374</v>
      </c>
      <c r="L61" s="3298"/>
      <c r="M61" s="2327"/>
      <c r="N61" s="2328" t="e">
        <f ca="1">ROUND(N59*10000/'数据-汇总表'!E3,0)</f>
        <v>#VALUE!</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f ca="1">ROUND((C64+C65)/(1+'数据-取费表'!C42),0)</f>
        <v>20900</v>
      </c>
      <c r="D63" s="159"/>
      <c r="E63" s="160"/>
      <c r="F63" s="1670"/>
      <c r="G63" s="1670"/>
      <c r="H63" s="151"/>
      <c r="I63" s="121"/>
      <c r="J63" s="332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21945</v>
      </c>
      <c r="D64" s="162" t="s">
        <v>26</v>
      </c>
      <c r="E64" s="164"/>
      <c r="F64" s="1670"/>
      <c r="G64" s="1670"/>
      <c r="H64" s="151"/>
      <c r="I64" s="121"/>
      <c r="J64" s="332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t="e">
        <f>M49*0.5%</f>
        <v>#VALUE!</v>
      </c>
      <c r="M66" s="294" t="e">
        <f>IF(L66&gt;0.5,0.5,ROUND(L66,0))</f>
        <v>#VALUE!</v>
      </c>
      <c r="N66" s="2331" t="s">
        <v>1388</v>
      </c>
      <c r="Z66" s="1623"/>
      <c r="AI66" s="1561"/>
    </row>
    <row r="67" spans="1:35" ht="14.25" customHeight="1">
      <c r="A67" s="165" t="s">
        <v>328</v>
      </c>
      <c r="B67" s="166" t="s">
        <v>1389</v>
      </c>
      <c r="C67" s="2354">
        <f ca="1">C63-C66</f>
        <v>20900</v>
      </c>
      <c r="D67" s="162" t="s">
        <v>26</v>
      </c>
      <c r="E67" s="164"/>
      <c r="F67" s="1670"/>
      <c r="G67" s="1670"/>
      <c r="H67" s="151"/>
      <c r="I67" s="121"/>
      <c r="J67" s="332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1170</v>
      </c>
      <c r="D68" s="2356">
        <f>'数据-取费表'!B41</f>
        <v>5.6000000000000001E-2</v>
      </c>
      <c r="E68" s="170"/>
      <c r="F68" s="1670"/>
      <c r="G68" s="1670"/>
      <c r="H68" s="151"/>
      <c r="I68" s="121"/>
      <c r="J68" s="332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3"/>
      <c r="K69" s="1245" t="s">
        <v>1393</v>
      </c>
      <c r="L69" s="1245"/>
      <c r="M69" s="294" t="e">
        <f>ROUND(SUM(M63:M68),0)</f>
        <v>#VALUE!</v>
      </c>
      <c r="N69" s="2332" t="e">
        <f>M69/M49</f>
        <v>#VALUE!</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20900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125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125</v>
      </c>
      <c r="D78" s="2363">
        <f>'数据-取费表'!B43</f>
        <v>6.000000000000001E-3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20775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166.2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12421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20900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125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2129</v>
      </c>
      <c r="H90" s="332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125</v>
      </c>
      <c r="D93" s="2363">
        <f>'数据-取费表'!B43</f>
        <v>6.000000000000001E-3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20775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166.2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12421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成本法</v>
      </c>
      <c r="D101" s="2372" t="str">
        <f>D4</f>
        <v>收益法（汇总）</v>
      </c>
      <c r="E101" s="3320" t="s">
        <v>1431</v>
      </c>
      <c r="F101" s="3277"/>
      <c r="G101" s="1687" t="s">
        <v>1432</v>
      </c>
      <c r="H101" s="2381">
        <f ca="1">H118</f>
        <v>21945</v>
      </c>
      <c r="I101" s="121"/>
    </row>
    <row r="102" spans="1:35" ht="18.75" customHeight="1">
      <c r="A102" s="3279" t="s">
        <v>1433</v>
      </c>
      <c r="B102" s="2370" t="s">
        <v>1432</v>
      </c>
      <c r="C102" s="2371">
        <f ca="1">IF(D32="楼面单价",ROUND(C19,0),C19)</f>
        <v>20999</v>
      </c>
      <c r="D102" s="2372">
        <f ca="1">IF(D32="楼面单价",ROUND(D19,0),D19)</f>
        <v>22890</v>
      </c>
      <c r="E102" s="3320"/>
      <c r="F102" s="3277"/>
      <c r="G102" s="1687" t="s">
        <v>1434</v>
      </c>
      <c r="H102" s="2341" t="e">
        <f ca="1">I118</f>
        <v>#DIV/0!</v>
      </c>
      <c r="I102" s="121"/>
    </row>
    <row r="103" spans="1:35" ht="42.75" customHeight="1">
      <c r="A103" s="3279"/>
      <c r="B103" s="2370" t="s">
        <v>1434</v>
      </c>
      <c r="C103" s="2373">
        <f ca="1">C20</f>
        <v>23239</v>
      </c>
      <c r="D103" s="2374">
        <f ca="1">D20</f>
        <v>25332</v>
      </c>
      <c r="E103" s="3314" t="s">
        <v>1435</v>
      </c>
      <c r="F103" s="3315"/>
      <c r="G103" s="1688" t="s">
        <v>1436</v>
      </c>
      <c r="H103" s="2381">
        <f>IF(D36="正常操作",H104+H105+H106,H105+H106)</f>
        <v>0</v>
      </c>
      <c r="I103" s="121"/>
    </row>
    <row r="104" spans="1:35" ht="18.75" customHeight="1">
      <c r="A104" s="3279" t="s">
        <v>1437</v>
      </c>
      <c r="B104" s="2375" t="s">
        <v>1432</v>
      </c>
      <c r="C104" s="2376">
        <f ca="1">H118</f>
        <v>21945</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t="e">
        <f ca="1">I118</f>
        <v>#DIV/0!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f ca="1">IF(E107="——","——",H101-H103)</f>
        <v>21945</v>
      </c>
      <c r="I107" s="121"/>
    </row>
    <row r="108" spans="1:35" ht="18.75" customHeight="1">
      <c r="A108" s="121"/>
      <c r="B108" s="121"/>
      <c r="C108" s="121"/>
      <c r="D108" s="121"/>
      <c r="E108" s="3276"/>
      <c r="F108" s="3277"/>
      <c r="G108" s="1687" t="s">
        <v>1434</v>
      </c>
      <c r="H108" s="2341" t="e">
        <f ca="1">IF(H107=H101,H102,ROUND(H107*10000/'数据-汇总表'!E3,0))</f>
        <v>#DIV/0!</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f>M19</f>
        <v>0</v>
      </c>
      <c r="D118" s="2150">
        <f ca="1">ROUND(IF(D32="总价",C34,E118*B118/10000),0)</f>
        <v>16985</v>
      </c>
      <c r="E118" s="2150" t="e">
        <f ca="1">ROUND(IF(C33="自定义",IF(D32="楼面单价",C34,D118*10000/B118),I118-G118),0)</f>
        <v>#DIV/0!</v>
      </c>
      <c r="F118" s="2150">
        <f ca="1">ROUND(IF(D32="总价",C35,G118*B118/10000),0)</f>
        <v>4960</v>
      </c>
      <c r="G118" s="2150" t="e">
        <f ca="1">ROUND(IF(D32="楼面单价",C35,F118*10000/B118),0)</f>
        <v>#DIV/0!</v>
      </c>
      <c r="H118" s="2150">
        <f ca="1">ROUND(IF(D32="总价",C32,I118*B118/10000),0)</f>
        <v>21945</v>
      </c>
      <c r="I118" s="2150" t="e">
        <f ca="1">ROUND(IF(D32="楼面单价",C32,H118*10000/B118),0)</f>
        <v>#DIV/0!</v>
      </c>
    </row>
    <row r="119" spans="1:27" ht="18.75" customHeight="1">
      <c r="A119" s="3247" t="s">
        <v>1452</v>
      </c>
      <c r="B119" s="3247"/>
      <c r="C119" s="3247"/>
      <c r="D119" s="3287" t="str">
        <f ca="1">NUMBERSTRING(INT(D118*10000),2)&amp;"元整"</f>
        <v>壹亿陆仟玖佰捌拾伍万元整</v>
      </c>
      <c r="E119" s="3289"/>
      <c r="F119" s="3287" t="str">
        <f ca="1">NUMBERSTRING(INT(F118*10000),2)&amp;"元整"</f>
        <v>肆仟玖佰陆拾万元整</v>
      </c>
      <c r="G119" s="3289"/>
      <c r="H119" s="3287" t="str">
        <f ca="1">NUMBERSTRING(INT(H118*10000),2)&amp;"元整"</f>
        <v>贰亿壹仟玖佰肆拾伍万元整</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f ca="1">H107</f>
        <v>21945</v>
      </c>
      <c r="E122" s="3312"/>
      <c r="F122" s="3312"/>
      <c r="G122" s="3312"/>
      <c r="H122" s="3312"/>
      <c r="I122" s="3313"/>
      <c r="AA122" s="684"/>
    </row>
    <row r="123" spans="1:27" ht="18.75" customHeight="1">
      <c r="A123" s="3247" t="s">
        <v>1452</v>
      </c>
      <c r="B123" s="3247"/>
      <c r="C123" s="3247"/>
      <c r="D123" s="3287" t="str">
        <f ca="1">NUMBERSTRING(INT(D122*10000),2)&amp;"元整"</f>
        <v>贰亿壹仟玖佰肆拾伍万元整</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2" zoomScale="85" zoomScaleNormal="80" zoomScaleSheetLayoutView="85" workbookViewId="0">
      <selection activeCell="D40" sqref="D4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7529.9250000000002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8834</v>
      </c>
      <c r="C2" s="1846" t="s">
        <v>1935</v>
      </c>
      <c r="D2" s="162" t="s">
        <v>1936</v>
      </c>
      <c r="E2" s="3121"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20729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11732</v>
      </c>
      <c r="C3" s="1846" t="s">
        <v>1941</v>
      </c>
      <c r="D3" s="162" t="s">
        <v>1942</v>
      </c>
      <c r="E3" s="3119" t="s">
        <v>3395</v>
      </c>
      <c r="F3" s="1848" t="s">
        <v>3409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16339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34"/>
      <c r="B4" s="3335"/>
      <c r="C4" s="3335"/>
      <c r="D4" s="3336"/>
      <c r="E4" s="3336"/>
      <c r="F4" s="3336"/>
      <c r="G4" s="3336"/>
      <c r="H4" s="3336"/>
      <c r="I4" s="3336"/>
      <c r="J4" s="3337"/>
      <c r="K4" s="1056"/>
      <c r="L4" s="1847" t="s">
        <v>1946</v>
      </c>
      <c r="M4" s="811">
        <f>SUMPRODUCT((区片价!B55:B86=I2)*(区片价!C3:G3=E2)*(区片价!C55:G86))</f>
        <v>19400</v>
      </c>
      <c r="N4" s="813">
        <f>SUMPRODUCT((因素修正幅度!B55:B86=I2)*(因素修正幅度!C3:G3=E2)*(因素修正幅度!C55:G86))</f>
        <v>9.7000000000000003E-2</v>
      </c>
      <c r="O4" s="1056"/>
      <c r="P4" s="1056"/>
      <c r="Q4" s="1056"/>
      <c r="R4" s="1129">
        <v>3</v>
      </c>
      <c r="S4" s="3064">
        <f>ROUND(SUMPRODUCT((B106:B110=R4)*(C105:N105=G2)*(C106:N110)),4)</f>
        <v>1.0004999999999999</v>
      </c>
      <c r="T4" s="3064">
        <f t="shared" si="0"/>
        <v>13809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15520</v>
      </c>
      <c r="D5" s="1252">
        <f>ROUND(C6*C17+C20,0)</f>
        <v>15520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12179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19400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11704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2.5</v>
      </c>
      <c r="AA7" s="1133"/>
      <c r="AB7" s="1133"/>
      <c r="AC7" s="1134"/>
      <c r="AD7" s="1135"/>
      <c r="AE7" s="1135"/>
      <c r="AF7" s="1135"/>
      <c r="AG7" s="1135"/>
      <c r="AH7" s="1135"/>
      <c r="AI7" s="1135"/>
      <c r="AJ7" s="1136"/>
    </row>
    <row r="8" spans="1:36" ht="25.5">
      <c r="A8" s="3010"/>
      <c r="B8" s="162" t="s">
        <v>1957</v>
      </c>
      <c r="C8" s="1870" t="s">
        <v>3396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31" t="s">
        <v>1960</v>
      </c>
      <c r="X8" s="333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33"/>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3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v>1</v>
      </c>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0.8</v>
      </c>
      <c r="D17" s="3029" t="s">
        <v>3249</v>
      </c>
      <c r="E17" s="3037">
        <f>ROUND(G18/I18,2)</f>
        <v>1</v>
      </c>
      <c r="F17" s="3029" t="s">
        <v>3252</v>
      </c>
      <c r="G17" s="3037">
        <f>ROUND(E19/G19,2)</f>
        <v>1</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v>50</v>
      </c>
      <c r="F18" s="3031" t="s">
        <v>3253</v>
      </c>
      <c r="G18" s="3035">
        <f>ROUND(1-(1/(POWER(1+G24,E18))),4)</f>
        <v>0.93120000000000003</v>
      </c>
      <c r="H18" s="3031" t="s">
        <v>3255</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f>'数据-基础表'!K13</f>
        <v>6023.94</v>
      </c>
      <c r="F19" s="3045" t="s">
        <v>3254</v>
      </c>
      <c r="G19" s="3044">
        <f>E19</f>
        <v>6023.94</v>
      </c>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38" t="s">
        <v>3256</v>
      </c>
      <c r="B20" s="159" t="s">
        <v>1994</v>
      </c>
      <c r="C20" s="3032">
        <f>ROUND(IF(F21="与级别开发程度一致",0,(G21-E21)/C21),0)</f>
        <v>0</v>
      </c>
      <c r="D20" s="3047" t="s">
        <v>1998</v>
      </c>
      <c r="E20" s="3048"/>
      <c r="F20" s="3344" t="s">
        <v>1995</v>
      </c>
      <c r="G20" s="334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3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3397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96" t="s">
        <v>2002</v>
      </c>
      <c r="E23" s="717">
        <v>44197</v>
      </c>
      <c r="F23" s="1896" t="s">
        <v>2003</v>
      </c>
      <c r="G23" s="718">
        <f>'数据-取费表'!B2</f>
        <v>45553</v>
      </c>
      <c r="H23" s="3049" t="s">
        <v>3258</v>
      </c>
      <c r="I23" s="3050" t="str">
        <f>IF(H23="季度增幅（自定义）",SUMIF(N25:N28,E2,O25:O28),"")</f>
        <v/>
      </c>
      <c r="J23" s="3142" t="s">
        <v>3257</v>
      </c>
      <c r="K23" s="1061"/>
      <c r="L23" s="1897" t="s">
        <v>2004</v>
      </c>
      <c r="M23" s="1241">
        <f>ROUND(SUMIF(地价!B2:G2,E2,地价!B16:G16),0)</f>
        <v>350</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0.87980000000000003</v>
      </c>
      <c r="D24" s="1902" t="s">
        <v>2007</v>
      </c>
      <c r="E24" s="1248">
        <f>存贷款利率!E26/100</f>
        <v>4.3499999999999997E-2</v>
      </c>
      <c r="F24" s="1902" t="s">
        <v>1999</v>
      </c>
      <c r="G24" s="724">
        <f>SUMIF(M30:Q30,E2,M33:Q33)</f>
        <v>5.5E-2</v>
      </c>
      <c r="H24" s="1902" t="s">
        <v>2008</v>
      </c>
      <c r="I24" s="725">
        <f>SUMIF('数据-取费表'!C6:C15,E2,'数据-取费表'!F6:F15)/COUNTIF('数据-取费表'!C6:C15,E2)</f>
        <v>31.96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8834</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130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13802</v>
      </c>
      <c r="D33" s="1940">
        <f>'数据-汇总表'!F19</f>
        <v>6023.94</v>
      </c>
      <c r="E33" s="727">
        <f>ROUND(C33*D33/10000,0)</f>
        <v>8314</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3451</v>
      </c>
      <c r="D34" s="1945"/>
      <c r="E34" s="727">
        <f>ROUND(IF(B25="楼层修正",SUM(V2:V16)*M40,C34*D34/10000),0)</f>
        <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2"/>
      <c r="B37" s="1955" t="s">
        <v>2036</v>
      </c>
      <c r="C37" s="167">
        <f>ROUND(D5*C22*C23*C24*C28*F37,0)</f>
        <v>8281</v>
      </c>
      <c r="D37" s="1940"/>
      <c r="E37" s="163">
        <f>ROUND(C37*D37/10000,0)</f>
        <v>0</v>
      </c>
      <c r="F37" s="163">
        <f>SUMIF(修正!A57:A68,G2,修正!B57:B68)</f>
        <v>0.6</v>
      </c>
      <c r="G37" s="163">
        <f>ROUND(IF(E2="工业",C37*$M$42,C37*$M$41),0)</f>
        <v>2070</v>
      </c>
      <c r="H37" s="163">
        <f>D37</f>
        <v>0</v>
      </c>
      <c r="I37" s="163">
        <f>ROUND(G37*H37/10000,0)</f>
        <v>0</v>
      </c>
      <c r="J37" s="2755"/>
      <c r="K37" s="3062" t="s">
        <v>3268</v>
      </c>
      <c r="L37" s="1964">
        <f ca="1">L36+K38</f>
        <v>3.85E-2</v>
      </c>
      <c r="M37" s="2366">
        <f ca="1">ROUND($L$37*(1+M31),3)</f>
        <v>4.8000000000000001E-2</v>
      </c>
      <c r="N37" s="2366">
        <f t="shared" ref="N37:Q37" ca="1" si="3">ROUND($L$37*(1+N31),3)</f>
        <v>4.5999999999999999E-2</v>
      </c>
      <c r="O37" s="2366">
        <f t="shared" ca="1" si="3"/>
        <v>4.3999999999999997E-2</v>
      </c>
      <c r="P37" s="2366">
        <f t="shared" ca="1" si="3"/>
        <v>4.2000000000000003E-2</v>
      </c>
      <c r="Q37" s="2366">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3"/>
      <c r="B38" s="1884" t="s">
        <v>2037</v>
      </c>
      <c r="C38" s="167">
        <f>ROUND(D5*C22*C23*C24*C28*F38,0)</f>
        <v>4141</v>
      </c>
      <c r="D38" s="1940"/>
      <c r="E38" s="163">
        <f t="shared" ref="E38:E42" si="4">ROUND(C38*D38/10000,0)</f>
        <v>0</v>
      </c>
      <c r="F38" s="163">
        <f>SUMIF(修正!A57:A68,G2,修正!C57:C68)</f>
        <v>0.3</v>
      </c>
      <c r="G38" s="163">
        <f>ROUND(IF(E2="工业",C38*$M$42,C38*$M$41),0)</f>
        <v>1035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3"/>
      <c r="B39" s="1884" t="s">
        <v>3261</v>
      </c>
      <c r="C39" s="167">
        <f>ROUND(D5*C22*C23*C24*C28*F39,0)</f>
        <v>3450</v>
      </c>
      <c r="D39" s="1940"/>
      <c r="E39" s="163">
        <f t="shared" si="4"/>
        <v>0</v>
      </c>
      <c r="F39" s="163">
        <f>SUMIF(修正!A57:A68,G2,修正!D57:D68)</f>
        <v>0.25</v>
      </c>
      <c r="G39" s="163">
        <f>ROUND(IF(E2="工业",C39*$M$42,C39*$M$41),0)</f>
        <v>863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3450</v>
      </c>
      <c r="D40" s="1940">
        <f>'数据-基础表'!M13</f>
        <v>1505.9850000000006</v>
      </c>
      <c r="E40" s="163">
        <f t="shared" si="4"/>
        <v>520</v>
      </c>
      <c r="F40" s="167">
        <f>SUMIF(修正!A57:A68,G2,修正!E57:E68)</f>
        <v>0.25</v>
      </c>
      <c r="G40" s="163">
        <f>ROUND(IF(E2="工业",C40*$M$42,C40*$M$41),0)</f>
        <v>863</v>
      </c>
      <c r="H40" s="163">
        <f t="shared" si="5"/>
        <v>1505.9850000000006</v>
      </c>
      <c r="I40" s="163">
        <f t="shared" si="6"/>
        <v>130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3450</v>
      </c>
      <c r="D41" s="1940"/>
      <c r="E41" s="163">
        <f t="shared" si="4"/>
        <v>0</v>
      </c>
      <c r="F41" s="167">
        <f>SUMIF(修正!A57:A68,G2,修正!F57:F68)</f>
        <v>0.25</v>
      </c>
      <c r="G41" s="163">
        <f>ROUND(IF(E2="工业",C41*$M$42,C41*$M$41),0)</f>
        <v>863</v>
      </c>
      <c r="H41" s="163">
        <f t="shared" si="5"/>
        <v>0</v>
      </c>
      <c r="I41" s="163">
        <f t="shared" si="6"/>
        <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2070</v>
      </c>
      <c r="D42" s="1945"/>
      <c r="E42" s="179">
        <f t="shared" si="4"/>
        <v>0</v>
      </c>
      <c r="F42" s="723">
        <f>SUMIF(修正!A57:A68,G2,修正!G57:G68)</f>
        <v>0.15</v>
      </c>
      <c r="G42" s="179">
        <f>ROUND(IF(E2="工业",C42*$M$42,C42*$M$41),0)</f>
        <v>518</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0.87980000000000003</v>
      </c>
      <c r="D44" s="163" t="s">
        <v>1999</v>
      </c>
      <c r="E44" s="1991">
        <f>G24</f>
        <v>5.5E-2</v>
      </c>
      <c r="F44" s="163" t="s">
        <v>2008</v>
      </c>
      <c r="G44" s="175">
        <f>项目基本情况!E15</f>
        <v>31.96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f>IF(E2="办公",SUMIF(L1:L12,G2,N1:N12),"——")</f>
        <v>9.7000000000000003E-2</v>
      </c>
      <c r="G61" s="1000"/>
      <c r="H61" s="1003">
        <f t="shared" ref="H61:H69" si="13">IFERROR(ROUNDDOWN($F$61*I61/2,4),"——")</f>
        <v>1.21E-2</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f t="shared" si="13"/>
        <v>1.26E-2</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f t="shared" si="13"/>
        <v>5.3E-3</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f t="shared" si="13"/>
        <v>2.3999999999999998E-3</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f t="shared" si="13"/>
        <v>2.3999999999999998E-3</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f t="shared" si="13"/>
        <v>2.8999999999999998E-3</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f t="shared" si="13"/>
        <v>2.8999999999999998E-3</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f t="shared" si="13"/>
        <v>4.3E-3</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f t="shared" si="13"/>
        <v>3.3E-3</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40" t="s">
        <v>3296</v>
      </c>
      <c r="B103" s="3340"/>
      <c r="C103" s="3340"/>
      <c r="D103" s="3340"/>
      <c r="E103" s="3340"/>
      <c r="F103" s="3340"/>
      <c r="G103" s="3340"/>
      <c r="H103" s="3340"/>
      <c r="I103" s="3340"/>
      <c r="J103" s="3340"/>
      <c r="K103" s="1667"/>
      <c r="L103" s="1667"/>
      <c r="M103" s="1667"/>
      <c r="N103" s="1667"/>
    </row>
    <row r="104" spans="1:14">
      <c r="A104" s="3341" t="s">
        <v>3297</v>
      </c>
      <c r="B104" s="3341" t="s">
        <v>3298</v>
      </c>
      <c r="C104" s="3091" t="s">
        <v>3299</v>
      </c>
      <c r="D104" s="3092"/>
      <c r="E104" s="3092"/>
      <c r="F104" s="3092"/>
      <c r="G104" s="3092"/>
      <c r="H104" s="3092"/>
      <c r="I104" s="3092"/>
      <c r="J104" s="3093"/>
      <c r="K104" s="3094"/>
      <c r="L104" s="3094"/>
      <c r="M104" s="3094"/>
      <c r="N104" s="3094"/>
    </row>
    <row r="105" spans="1:14">
      <c r="A105" s="3341"/>
      <c r="B105" s="3341"/>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327"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2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2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2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2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28"/>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2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30" t="s">
        <v>3313</v>
      </c>
      <c r="B113" s="3330"/>
      <c r="C113" s="3330"/>
      <c r="D113" s="3330"/>
      <c r="E113" s="3330"/>
      <c r="F113" s="3330"/>
      <c r="G113" s="3330"/>
      <c r="H113" s="3330"/>
      <c r="I113" s="3330"/>
      <c r="J113" s="333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2.5</v>
      </c>
      <c r="C116" s="3100" t="s">
        <v>3315</v>
      </c>
      <c r="D116" s="3101">
        <f>SUMPRODUCT((A118:A122=F116)*(B117:M117=H116)*B118:M122)</f>
        <v>0.90600000000000003</v>
      </c>
      <c r="E116" s="162" t="s">
        <v>3316</v>
      </c>
      <c r="F116" s="3102" t="str">
        <f>E2</f>
        <v>办公</v>
      </c>
      <c r="G116" s="162" t="s">
        <v>3317</v>
      </c>
      <c r="H116" s="3102" t="str">
        <f>G2</f>
        <v>四级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3331</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3332</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3333</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2614</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B2F15-83D1-46C7-8029-EEA7F97EB471}">
  <sheetPr>
    <tabColor rgb="FF92D050"/>
  </sheetPr>
  <dimension ref="A1:AK122"/>
  <sheetViews>
    <sheetView view="pageBreakPreview" zoomScale="85" zoomScaleNormal="80" zoomScaleSheetLayoutView="85" workbookViewId="0">
      <selection activeCell="C12" sqref="C1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1505.9849999999999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2784</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Ⅳ-08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18486</v>
      </c>
      <c r="U2" s="1130">
        <f>'数据-基础表'!I13</f>
        <v>1505.9849999999999</v>
      </c>
      <c r="V2" s="3064">
        <f>ROUND(T2*U2/10000,0)</f>
        <v>2784</v>
      </c>
      <c r="W2" s="1133"/>
      <c r="X2" s="1133"/>
      <c r="Y2" s="1133"/>
      <c r="Z2" s="1133"/>
      <c r="AA2" s="1133"/>
      <c r="AB2" s="1133"/>
      <c r="AC2" s="1134"/>
      <c r="AD2" s="1135"/>
      <c r="AE2" s="1135"/>
      <c r="AF2" s="1135"/>
      <c r="AG2" s="1135"/>
      <c r="AH2" s="1135"/>
      <c r="AI2" s="1135"/>
      <c r="AJ2" s="1136"/>
    </row>
    <row r="3" spans="1:36" ht="15.75">
      <c r="A3" s="195" t="s">
        <v>1940</v>
      </c>
      <c r="B3" s="196">
        <f>ROUND(B2*10000/D1,0)</f>
        <v>18486</v>
      </c>
      <c r="C3" s="1846" t="s">
        <v>1941</v>
      </c>
      <c r="D3" s="162" t="s">
        <v>1942</v>
      </c>
      <c r="E3" s="3119" t="s">
        <v>3395</v>
      </c>
      <c r="F3" s="1848" t="s">
        <v>3409</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14571</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34"/>
      <c r="B4" s="3335"/>
      <c r="C4" s="3335"/>
      <c r="D4" s="3336"/>
      <c r="E4" s="3336"/>
      <c r="F4" s="3336"/>
      <c r="G4" s="3336"/>
      <c r="H4" s="3336"/>
      <c r="I4" s="3336"/>
      <c r="J4" s="3337"/>
      <c r="K4" s="1056"/>
      <c r="L4" s="1847" t="s">
        <v>1946</v>
      </c>
      <c r="M4" s="811">
        <f>SUMPRODUCT((区片价!B55:B86=I2)*(区片价!C3:G3=E2)*(区片价!C55:G86))</f>
        <v>18710</v>
      </c>
      <c r="N4" s="813">
        <f>SUMPRODUCT((因素修正幅度!B55:B86=I2)*(因素修正幅度!C3:G3=E2)*(因素修正幅度!C55:G86))</f>
        <v>0.1</v>
      </c>
      <c r="O4" s="1056"/>
      <c r="P4" s="1056"/>
      <c r="Q4" s="1056"/>
      <c r="R4" s="1129">
        <v>3</v>
      </c>
      <c r="S4" s="3064">
        <f>ROUND(SUMPRODUCT((B106:B110=R4)*(C105:N105=G2)*(C106:N110)),4)</f>
        <v>1.0004999999999999</v>
      </c>
      <c r="T4" s="3064">
        <f t="shared" si="0"/>
        <v>12314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14968</v>
      </c>
      <c r="D5" s="1252">
        <f>ROUND(C6*C17+C20,0)</f>
        <v>14968</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10861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18710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10437</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2.5</v>
      </c>
      <c r="AA7" s="1133"/>
      <c r="AB7" s="1133"/>
      <c r="AC7" s="1134"/>
      <c r="AD7" s="1135"/>
      <c r="AE7" s="1135"/>
      <c r="AF7" s="1135"/>
      <c r="AG7" s="1135"/>
      <c r="AH7" s="1135"/>
      <c r="AI7" s="1135"/>
      <c r="AJ7" s="1136"/>
    </row>
    <row r="8" spans="1:36" ht="25.5">
      <c r="A8" s="3010"/>
      <c r="B8" s="162" t="s">
        <v>1957</v>
      </c>
      <c r="C8" s="1870" t="s">
        <v>3396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31" t="s">
        <v>1960</v>
      </c>
      <c r="X8" s="333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33"/>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3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0.8</v>
      </c>
      <c r="D17" s="3029" t="s">
        <v>3249</v>
      </c>
      <c r="E17" s="3037">
        <f>ROUND(G18/I18,2)</f>
        <v>1</v>
      </c>
      <c r="F17" s="3029" t="s">
        <v>3252</v>
      </c>
      <c r="G17" s="3037">
        <f>ROUND(E19/G19,2)</f>
        <v>1</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v>40</v>
      </c>
      <c r="F18" s="3031" t="s">
        <v>3253</v>
      </c>
      <c r="G18" s="3035">
        <f>ROUND(1-(1/(POWER(1+G24,E18))),4)</f>
        <v>0.88249999999999995</v>
      </c>
      <c r="H18" s="3031" t="s">
        <v>3255</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f>'数据-基础表'!I13</f>
        <v>1505.9849999999999</v>
      </c>
      <c r="F19" s="3045" t="s">
        <v>3254</v>
      </c>
      <c r="G19" s="3044">
        <f>E19</f>
        <v>1505.9849999999999</v>
      </c>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38" t="s">
        <v>3256</v>
      </c>
      <c r="B20" s="159" t="s">
        <v>1994</v>
      </c>
      <c r="C20" s="3032">
        <f>ROUND(IF(F21="与级别开发程度一致",0,(G21-E21)/C21),0)</f>
        <v>0</v>
      </c>
      <c r="D20" s="3047" t="s">
        <v>1998</v>
      </c>
      <c r="E20" s="3048"/>
      <c r="F20" s="3344" t="s">
        <v>1995</v>
      </c>
      <c r="G20" s="334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3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3397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896" t="s">
        <v>2002</v>
      </c>
      <c r="E23" s="717">
        <v>44197</v>
      </c>
      <c r="F23" s="1896" t="s">
        <v>2003</v>
      </c>
      <c r="G23" s="718">
        <f>'数据-取费表'!B2</f>
        <v>45553</v>
      </c>
      <c r="H23" s="3049" t="s">
        <v>3258</v>
      </c>
      <c r="I23" s="3050" t="str">
        <f>IF(H23="季度增幅（自定义）",SUMIF(N25:N28,E2,O25:O28),"")</f>
        <v/>
      </c>
      <c r="J23" s="3142" t="s">
        <v>3257</v>
      </c>
      <c r="K23" s="1061"/>
      <c r="L23" s="1897" t="s">
        <v>2004</v>
      </c>
      <c r="M23" s="1241">
        <f>ROUND(SUMIF(地价!B2:G2,E2,地价!B16:G16),0)</f>
        <v>350</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0.7833</v>
      </c>
      <c r="D24" s="1902" t="s">
        <v>2007</v>
      </c>
      <c r="E24" s="1248">
        <f>存贷款利率!E26/100</f>
        <v>4.3499999999999997E-2</v>
      </c>
      <c r="F24" s="1902" t="s">
        <v>1999</v>
      </c>
      <c r="G24" s="724">
        <f>SUMIF(M30:Q30,E2,M33:Q33)</f>
        <v>5.5E-2</v>
      </c>
      <c r="H24" s="1902" t="s">
        <v>2008</v>
      </c>
      <c r="I24" s="725">
        <f>SUMIF('数据-取费表'!C6:C15,E2,'数据-取费表'!F6:F15)/COUNTIF('数据-取费表'!C6:C15,E2)</f>
        <v>21.95</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3410</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2784</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18486</v>
      </c>
      <c r="D33" s="1940">
        <f>E19</f>
        <v>1505.9849999999999</v>
      </c>
      <c r="E33" s="727">
        <f>ROUND(C33*D33/10000,0)</f>
        <v>2784</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2"/>
      <c r="B37" s="1955" t="s">
        <v>2036</v>
      </c>
      <c r="C37" s="167">
        <f>ROUND(D5*C22*C23*C24*C28*F37,0)</f>
        <v>7385</v>
      </c>
      <c r="D37" s="1940"/>
      <c r="E37" s="163">
        <f>ROUND(C37*D37/10000,0)</f>
        <v>0</v>
      </c>
      <c r="F37" s="163">
        <f>SUMIF(修正!A57:A68,G2,修正!B57:B68)</f>
        <v>0.6</v>
      </c>
      <c r="G37" s="163">
        <f>ROUND(IF(E2="工业",C37*$M$42,C37*$M$41),0)</f>
        <v>1846</v>
      </c>
      <c r="H37" s="163">
        <f>D37</f>
        <v>0</v>
      </c>
      <c r="I37" s="163">
        <f>ROUND(G37*H37/10000,0)</f>
        <v>0</v>
      </c>
      <c r="J37" s="2755"/>
      <c r="K37" s="3062" t="s">
        <v>3268</v>
      </c>
      <c r="L37" s="1964">
        <f ca="1">L36+K38</f>
        <v>3.85E-2</v>
      </c>
      <c r="M37" s="2366">
        <f ca="1">ROUND($L$37*(1+M31),3)</f>
        <v>4.8000000000000001E-2</v>
      </c>
      <c r="N37" s="2366">
        <f t="shared" ref="N37:Q37" ca="1" si="3">ROUND($L$37*(1+N31),3)</f>
        <v>4.5999999999999999E-2</v>
      </c>
      <c r="O37" s="2366">
        <f t="shared" ca="1" si="3"/>
        <v>4.3999999999999997E-2</v>
      </c>
      <c r="P37" s="2366">
        <f t="shared" ca="1" si="3"/>
        <v>4.2000000000000003E-2</v>
      </c>
      <c r="Q37" s="2366">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3"/>
      <c r="B38" s="1884" t="s">
        <v>2037</v>
      </c>
      <c r="C38" s="167">
        <f>ROUND(D5*C22*C23*C24*C28*F38,0)</f>
        <v>3692</v>
      </c>
      <c r="D38" s="1940"/>
      <c r="E38" s="163">
        <f t="shared" ref="E38:E42" si="4">ROUND(C38*D38/10000,0)</f>
        <v>0</v>
      </c>
      <c r="F38" s="163">
        <f>SUMIF(修正!A57:A68,G2,修正!C57:C68)</f>
        <v>0.3</v>
      </c>
      <c r="G38" s="163">
        <f>ROUND(IF(E2="工业",C38*$M$42,C38*$M$41),0)</f>
        <v>923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3"/>
      <c r="B39" s="1884" t="s">
        <v>3261</v>
      </c>
      <c r="C39" s="167">
        <f>ROUND(D5*C22*C23*C24*C28*F39,0)</f>
        <v>3077</v>
      </c>
      <c r="D39" s="1940"/>
      <c r="E39" s="163">
        <f t="shared" si="4"/>
        <v>0</v>
      </c>
      <c r="F39" s="163">
        <f>SUMIF(修正!A57:A68,G2,修正!D57:D68)</f>
        <v>0.25</v>
      </c>
      <c r="G39" s="163">
        <f>ROUND(IF(E2="工业",C39*$M$42,C39*$M$41),0)</f>
        <v>769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3077</v>
      </c>
      <c r="D40" s="1940"/>
      <c r="E40" s="163">
        <f t="shared" si="4"/>
        <v>0</v>
      </c>
      <c r="F40" s="167">
        <f>SUMIF(修正!A57:A68,G2,修正!E57:E68)</f>
        <v>0.25</v>
      </c>
      <c r="G40" s="163">
        <f>ROUND(IF(E2="工业",C40*$M$42,C40*$M$41),0)</f>
        <v>769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3456</v>
      </c>
      <c r="D41" s="1940"/>
      <c r="E41" s="163">
        <f t="shared" si="4"/>
        <v>0</v>
      </c>
      <c r="F41" s="167">
        <f>SUMIF(修正!A57:A68,G2,修正!F57:F68)</f>
        <v>0.25</v>
      </c>
      <c r="G41" s="163">
        <f>ROUND(IF(E2="工业",C41*$M$42,C41*$M$41),0)</f>
        <v>864</v>
      </c>
      <c r="H41" s="163">
        <f t="shared" si="5"/>
        <v>0</v>
      </c>
      <c r="I41" s="163">
        <f t="shared" si="6"/>
        <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2074</v>
      </c>
      <c r="D42" s="1945"/>
      <c r="E42" s="179">
        <f t="shared" si="4"/>
        <v>0</v>
      </c>
      <c r="F42" s="723">
        <f>SUMIF(修正!A57:A68,G2,修正!G57:G68)</f>
        <v>0.15</v>
      </c>
      <c r="G42" s="179">
        <f>ROUND(IF(E2="工业",C42*$M$42,C42*$M$41),0)</f>
        <v>519</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0.87980000000000003</v>
      </c>
      <c r="D44" s="163" t="s">
        <v>1999</v>
      </c>
      <c r="E44" s="1991">
        <f>G24</f>
        <v>5.5E-2</v>
      </c>
      <c r="F44" s="163" t="s">
        <v>2008</v>
      </c>
      <c r="G44" s="175">
        <f>项目基本情况!E15</f>
        <v>31.96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f>IF(E2="商业",SUMIF(L1:L12,G2,N1:N12),"——")</f>
        <v>0.1</v>
      </c>
      <c r="G50" s="1000"/>
      <c r="H50" s="1003">
        <f t="shared" ref="H50:H58" si="8">IFERROR(ROUNDDOWN($F$50*I50/2,4),"——")</f>
        <v>1.4999999999999999E-2</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f t="shared" si="8"/>
        <v>1.0999999999999999E-2</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c r="D52" s="1002">
        <f t="shared" si="7"/>
        <v>0</v>
      </c>
      <c r="E52" s="703"/>
      <c r="F52" s="1675"/>
      <c r="G52" s="1000"/>
      <c r="H52" s="1003">
        <f t="shared" si="8"/>
        <v>6.0000000000000001E-3</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2.5000000000000001E-3</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f t="shared" si="8"/>
        <v>4.0000000000000001E-3</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2.5000000000000001E-3</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f t="shared" si="8"/>
        <v>2.5000000000000001E-3</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f t="shared" si="8"/>
        <v>4.0000000000000001E-3</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f t="shared" si="8"/>
        <v>2.5000000000000001E-3</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3285</v>
      </c>
      <c r="G92" s="2310" t="s">
        <v>1989</v>
      </c>
      <c r="H92" s="3090" t="s">
        <v>3289</v>
      </c>
      <c r="I92" s="2310" t="s">
        <v>2051</v>
      </c>
      <c r="J92" s="2150" t="s">
        <v>1721</v>
      </c>
      <c r="K92" s="2150" t="s">
        <v>1722</v>
      </c>
      <c r="L92" s="2150" t="s">
        <v>1723</v>
      </c>
      <c r="M92" s="2150" t="s">
        <v>1724</v>
      </c>
      <c r="N92" s="2150" t="s">
        <v>1725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2053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2054</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2056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2057</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2059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2060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2061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40" t="s">
        <v>3296</v>
      </c>
      <c r="B103" s="3340"/>
      <c r="C103" s="3340"/>
      <c r="D103" s="3340"/>
      <c r="E103" s="3340"/>
      <c r="F103" s="3340"/>
      <c r="G103" s="3340"/>
      <c r="H103" s="3340"/>
      <c r="I103" s="3340"/>
      <c r="J103" s="3340"/>
      <c r="K103" s="1667"/>
      <c r="L103" s="1667"/>
      <c r="M103" s="1667"/>
      <c r="N103" s="1667"/>
    </row>
    <row r="104" spans="1:14">
      <c r="A104" s="3341" t="s">
        <v>3297</v>
      </c>
      <c r="B104" s="3341" t="s">
        <v>3298</v>
      </c>
      <c r="C104" s="3091" t="s">
        <v>3299</v>
      </c>
      <c r="D104" s="3092"/>
      <c r="E104" s="3092"/>
      <c r="F104" s="3092"/>
      <c r="G104" s="3092"/>
      <c r="H104" s="3092"/>
      <c r="I104" s="3092"/>
      <c r="J104" s="3093"/>
      <c r="K104" s="3094"/>
      <c r="L104" s="3094"/>
      <c r="M104" s="3094"/>
      <c r="N104" s="3094"/>
    </row>
    <row r="105" spans="1:14">
      <c r="A105" s="3341"/>
      <c r="B105" s="3341"/>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327"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2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2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2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2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28"/>
      <c r="B111" s="3095" t="s">
        <v>3270</v>
      </c>
      <c r="C111" s="3096">
        <f>$I$3</f>
        <v>1</v>
      </c>
      <c r="D111" s="3096">
        <f t="shared" ref="D111:M111" si="32">$I$3</f>
        <v>1</v>
      </c>
      <c r="E111" s="3096">
        <f t="shared" si="32"/>
        <v>1</v>
      </c>
      <c r="F111" s="3096">
        <f t="shared" si="32"/>
        <v>1</v>
      </c>
      <c r="G111" s="3096">
        <f t="shared" si="32"/>
        <v>1</v>
      </c>
      <c r="H111" s="3096">
        <f t="shared" si="32"/>
        <v>1</v>
      </c>
      <c r="I111" s="3096">
        <f t="shared" si="32"/>
        <v>1</v>
      </c>
      <c r="J111" s="3096">
        <f t="shared" si="32"/>
        <v>1</v>
      </c>
      <c r="K111" s="3096">
        <f t="shared" si="32"/>
        <v>1</v>
      </c>
      <c r="L111" s="3096">
        <f t="shared" si="32"/>
        <v>1</v>
      </c>
      <c r="M111" s="3096">
        <f t="shared" si="32"/>
        <v>1</v>
      </c>
      <c r="N111" s="3096">
        <f>$I$3</f>
        <v>1</v>
      </c>
    </row>
    <row r="112" spans="1:14">
      <c r="A112" s="3329"/>
      <c r="B112" s="3095">
        <v>6</v>
      </c>
      <c r="C112" s="3090">
        <f>(-0.5556*(C111^2)-0.2719*C111+8944)*(10^(-4))</f>
        <v>0.89431725000000006</v>
      </c>
      <c r="D112" s="3090">
        <f>(-0.5556*(D111^2)-0.2719*D111+8944)*(10^(-4))</f>
        <v>0.89431725000000006</v>
      </c>
      <c r="E112" s="3090">
        <f>(-0.7912*(E111^2)-11.3794*E111+8482)*(10^(-4))</f>
        <v>0.84698294000000007</v>
      </c>
      <c r="F112" s="3090">
        <f t="shared" ref="F112:I112" si="33">(-0.7912*(F111^2)-11.3794*F111+8482)*(10^(-4))</f>
        <v>0.84698294000000007</v>
      </c>
      <c r="G112" s="3090">
        <f t="shared" si="33"/>
        <v>0.84698294000000007</v>
      </c>
      <c r="H112" s="3090">
        <f t="shared" si="33"/>
        <v>0.84698294000000007</v>
      </c>
      <c r="I112" s="3090">
        <f t="shared" si="33"/>
        <v>0.84698294000000007</v>
      </c>
      <c r="J112" s="3090">
        <f>(-0.989*(J111^2)-63.78*J111+7771)*(10^(-4))</f>
        <v>0.77062310000000001</v>
      </c>
      <c r="K112" s="3090">
        <f t="shared" ref="K112:N112" si="34">(-0.989*(K111^2)-63.78*K111+7771)*(10^(-4))</f>
        <v>0.77062310000000001</v>
      </c>
      <c r="L112" s="3090">
        <f t="shared" si="34"/>
        <v>0.77062310000000001</v>
      </c>
      <c r="M112" s="3090">
        <f t="shared" si="34"/>
        <v>0.77062310000000001</v>
      </c>
      <c r="N112" s="3090">
        <f t="shared" si="34"/>
        <v>0.77062310000000001</v>
      </c>
    </row>
    <row r="113" spans="1:14">
      <c r="A113" s="3330" t="s">
        <v>3313</v>
      </c>
      <c r="B113" s="3330"/>
      <c r="C113" s="3330"/>
      <c r="D113" s="3330"/>
      <c r="E113" s="3330"/>
      <c r="F113" s="3330"/>
      <c r="G113" s="3330"/>
      <c r="H113" s="3330"/>
      <c r="I113" s="3330"/>
      <c r="J113" s="333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2.5</v>
      </c>
      <c r="C116" s="3100" t="s">
        <v>3315</v>
      </c>
      <c r="D116" s="3101">
        <f>SUMPRODUCT((A118:A122=F116)*(B117:M117=H116)*B118:M122)</f>
        <v>0.91400000000000003</v>
      </c>
      <c r="E116" s="162" t="s">
        <v>1936</v>
      </c>
      <c r="F116" s="3102" t="str">
        <f>E2</f>
        <v>商业</v>
      </c>
      <c r="G116" s="162" t="s">
        <v>1937</v>
      </c>
      <c r="H116" s="3102" t="str">
        <f>G2</f>
        <v>四级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1990</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1991</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1992</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1993</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2614</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J23" xr:uid="{FF245ED4-4C15-41A2-80FB-B585E9C720AD}">
      <formula1>"不用分区数据,中心城区,中心城区以外"</formula1>
    </dataValidation>
    <dataValidation type="list" allowBlank="1" showInputMessage="1" showErrorMessage="1" sqref="H20:O20" xr:uid="{897C10C4-59A7-43F1-A736-B8B03BB156F6}">
      <formula1>七通一平</formula1>
    </dataValidation>
    <dataValidation type="list" allowBlank="1" showInputMessage="1" showErrorMessage="1" sqref="H23" xr:uid="{352BD933-7AA8-4F09-A870-93BC2575B9E7}">
      <formula1>"地价指数,季度增幅（自定义）,按公示增长率计算"</formula1>
    </dataValidation>
    <dataValidation type="list" allowBlank="1" showInputMessage="1" showErrorMessage="1" sqref="C61:C69 C72:C80 C50:C58 C83:C91 C93:C101" xr:uid="{91250FBD-5457-47FE-AB58-CC2CD02CFDDE}">
      <formula1>五等判定</formula1>
    </dataValidation>
    <dataValidation type="list" allowBlank="1" showInputMessage="1" showErrorMessage="1" sqref="E3" xr:uid="{514C62E5-96DF-4BB0-8C66-5CF98A3E7A10}">
      <formula1>二级分类</formula1>
    </dataValidation>
    <dataValidation type="list" allowBlank="1" showInputMessage="1" showErrorMessage="1" sqref="C8" xr:uid="{4FBFF8CB-3734-4494-8952-2674BE33ADB2}">
      <formula1>商业街名称</formula1>
    </dataValidation>
    <dataValidation type="list" allowBlank="1" showInputMessage="1" showErrorMessage="1" sqref="F3" xr:uid="{71D5501E-D30D-47BC-BF90-4F5944E095AC}">
      <formula1>"宗地容积率,估价对象容积率,自定义容积率"</formula1>
    </dataValidation>
    <dataValidation type="list" allowBlank="1" showInputMessage="1" showErrorMessage="1" sqref="E2" xr:uid="{8F21CA94-B12B-4691-8626-0B490A030BE7}">
      <formula1>"商业,办公,住宅,工业,公共服务"</formula1>
    </dataValidation>
    <dataValidation type="list" allowBlank="1" showInputMessage="1" showErrorMessage="1" sqref="F21" xr:uid="{F90AB793-9A2F-4F5D-959A-CDBFA7482B86}">
      <formula1>"与级别开发程度一致,与级别开发程度不一致"</formula1>
    </dataValidation>
    <dataValidation type="list" allowBlank="1" showInputMessage="1" showErrorMessage="1" sqref="B25" xr:uid="{FF74B488-D38A-4005-B7EA-AB359BCFB139}">
      <formula1>"容积率修正,楼层修正"</formula1>
    </dataValidation>
    <dataValidation type="list" allowBlank="1" showInputMessage="1" showErrorMessage="1" sqref="C15:D15" xr:uid="{1998657E-7F9B-45E3-B742-E03BDCF6EE14}">
      <formula1>"有,无"</formula1>
    </dataValidation>
    <dataValidation type="list" allowBlank="1" showInputMessage="1" showErrorMessage="1" sqref="E15" xr:uid="{71837483-2259-40E3-AEBF-8CBF6BDCAAA1}">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9" zoomScale="85" zoomScaleNormal="70" zoomScaleSheetLayoutView="85"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20999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23239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12153</v>
      </c>
      <c r="D5" s="203" t="s">
        <v>1469</v>
      </c>
      <c r="E5" s="204" t="s">
        <v>1470</v>
      </c>
      <c r="F5" s="204" t="s">
        <v>1471</v>
      </c>
      <c r="G5" s="205"/>
    </row>
    <row r="6" spans="1:9" s="206" customFormat="1" ht="13.5" customHeight="1">
      <c r="A6" s="732" t="s">
        <v>1472</v>
      </c>
      <c r="B6" s="207" t="s">
        <v>1473</v>
      </c>
      <c r="C6" s="208">
        <f>基准地价修正!B2+'基准地价修正 (2)'!B2</f>
        <v>11618</v>
      </c>
      <c r="D6" s="209"/>
      <c r="E6" s="210"/>
      <c r="F6" s="210"/>
      <c r="G6" s="211"/>
    </row>
    <row r="7" spans="1:9" s="206" customFormat="1" ht="13.5" customHeight="1">
      <c r="A7" s="732" t="s">
        <v>1474</v>
      </c>
      <c r="B7" s="207" t="s">
        <v>1475</v>
      </c>
      <c r="C7" s="212">
        <f>ROUND(C6*F7,0)</f>
        <v>354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181</v>
      </c>
      <c r="D8" s="214"/>
      <c r="E8" s="212"/>
      <c r="F8" s="213"/>
      <c r="G8" s="1714" t="s">
        <v>3411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3412</v>
      </c>
      <c r="H9" s="1070"/>
      <c r="I9" s="1716" t="s">
        <v>1479</v>
      </c>
    </row>
    <row r="10" spans="1:9" s="206" customFormat="1" ht="13.5" customHeight="1">
      <c r="A10" s="733" t="s">
        <v>356</v>
      </c>
      <c r="B10" s="216" t="s">
        <v>1480</v>
      </c>
      <c r="C10" s="217">
        <f ca="1">ROUND(D10*E10/10000,0)</f>
        <v>181</v>
      </c>
      <c r="D10" s="795">
        <f ca="1">IF(B1="",'数据-汇总表'!E6,IF(INDIRECT("'数据-取费表'!c"&amp;$G$1)="住宅",INDIRECT("'数据-取费表'!s"&amp;$G$1),INDIRECT("'数据-取费表'!k"&amp;$G$1)+INDIRECT("'数据-取费表'!s"&amp;$G$1)))</f>
        <v>9035.91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9035.91</v>
      </c>
      <c r="E19" s="203">
        <f>'数据-取费表'!B31</f>
        <v>200</v>
      </c>
      <c r="F19" s="223"/>
      <c r="G19" s="1714" t="s">
        <v>3413</v>
      </c>
    </row>
    <row r="20" spans="1:7" s="206" customFormat="1" ht="13.5" customHeight="1">
      <c r="A20" s="247" t="s">
        <v>1493</v>
      </c>
      <c r="B20" s="202" t="s">
        <v>1494</v>
      </c>
      <c r="C20" s="224">
        <f ca="1">ROUND((C5+C19)*F20,0)</f>
        <v>243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622</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616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6</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1983</v>
      </c>
      <c r="D27" s="227">
        <f ca="1">C29</f>
        <v>3.2000000000000002E-3</v>
      </c>
      <c r="E27" s="228" t="s">
        <v>1514</v>
      </c>
      <c r="F27" s="238">
        <f ca="1">IF(B1="",'数据-取费表'!Q16,INDIRECT("'数据-取费表'!q"&amp;$G$1))</f>
        <v>0.16</v>
      </c>
      <c r="G27" s="239" t="s">
        <v>1515</v>
      </c>
    </row>
    <row r="28" spans="1:7" s="206" customFormat="1" ht="13.5" customHeight="1">
      <c r="A28" s="734" t="s">
        <v>346</v>
      </c>
      <c r="B28" s="240" t="s">
        <v>1516</v>
      </c>
      <c r="C28" s="241">
        <f ca="1">ROUND((C5+C19+C20)*F27*'数据-取费表'!B21/'数据-取费表'!B20,0)</f>
        <v>1983</v>
      </c>
      <c r="D28" s="227"/>
      <c r="E28" s="228"/>
      <c r="F28" s="238"/>
      <c r="G28" s="239"/>
    </row>
    <row r="29" spans="1:7" s="206" customFormat="1" ht="13.5" customHeight="1">
      <c r="A29" s="734" t="s">
        <v>347</v>
      </c>
      <c r="B29" s="240" t="s">
        <v>1517</v>
      </c>
      <c r="C29" s="230">
        <f ca="1">ROUND(C21*F27*'数据-取费表'!B21/'数据-取费表'!B20,4)</f>
        <v>3.2000000000000002E-3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16252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4531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4066</v>
      </c>
      <c r="D34" s="209"/>
      <c r="E34" s="212"/>
      <c r="F34" s="249">
        <f ca="1">IF('数据-取费表'!B24=0,1,IF(B1="",'数据-取费表'!N16,INDIRECT("'数据-取费表'!n"&amp;$G$1)))</f>
        <v>1</v>
      </c>
      <c r="G34" s="211" t="s">
        <v>1526</v>
      </c>
    </row>
    <row r="35" spans="1:7" ht="13.5" customHeight="1">
      <c r="A35" s="734" t="s">
        <v>351</v>
      </c>
      <c r="B35" s="207" t="s">
        <v>1527</v>
      </c>
      <c r="C35" s="212">
        <f ca="1">ROUND(C34*F35,0)</f>
        <v>203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181</v>
      </c>
      <c r="D37" s="209">
        <f ca="1">D19</f>
        <v>9035.91</v>
      </c>
      <c r="E37" s="241">
        <f>'数据-取费表'!B35</f>
        <v>200</v>
      </c>
      <c r="F37" s="251"/>
      <c r="G37" s="253" t="s">
        <v>1532</v>
      </c>
    </row>
    <row r="38" spans="1:7" ht="13.5" customHeight="1">
      <c r="A38" s="734" t="s">
        <v>354</v>
      </c>
      <c r="B38" s="207" t="s">
        <v>1533</v>
      </c>
      <c r="C38" s="212">
        <f ca="1">ROUND(C34*F38,0)</f>
        <v>81</v>
      </c>
      <c r="D38" s="212"/>
      <c r="E38" s="212"/>
      <c r="F38" s="251">
        <f>'数据-取费表'!B36</f>
        <v>0.02</v>
      </c>
      <c r="G38" s="211" t="s">
        <v>1528</v>
      </c>
    </row>
    <row r="39" spans="1:7" s="206" customFormat="1" ht="13.5" customHeight="1">
      <c r="A39" s="247" t="s">
        <v>1534</v>
      </c>
      <c r="B39" s="202" t="s">
        <v>1535</v>
      </c>
      <c r="C39" s="224">
        <f ca="1">ROUND(C33*F20,0)</f>
        <v>91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115</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113</v>
      </c>
      <c r="D42" s="230"/>
      <c r="E42" s="230"/>
      <c r="F42" s="231"/>
      <c r="G42" s="3346" t="s">
        <v>1544</v>
      </c>
    </row>
    <row r="43" spans="1:7" ht="13.5" customHeight="1">
      <c r="A43" s="734" t="s">
        <v>347</v>
      </c>
      <c r="B43" s="207" t="s">
        <v>1545</v>
      </c>
      <c r="C43" s="230">
        <f ca="1">ROUND(IF('数据-取费表'!B22&lt;=1,C39*F22*'数据-取费表'!B21/2,C39*(POWER((1+F22),'数据-取费表'!B21/2)-1)),0)</f>
        <v>2</v>
      </c>
      <c r="D43" s="230"/>
      <c r="E43" s="230"/>
      <c r="F43" s="231"/>
      <c r="G43" s="3347"/>
    </row>
    <row r="44" spans="1:7" ht="13.5" customHeight="1">
      <c r="A44" s="734" t="s">
        <v>348</v>
      </c>
      <c r="B44" s="207" t="s">
        <v>1546</v>
      </c>
      <c r="C44" s="230">
        <f ca="1">ROUND(IF('数据-取费表'!B22&lt;=1,C40*F22*'数据-取费表'!B21/2,C40*(POWER((1+F22),'数据-取费表'!B21/2)-1)),4)</f>
        <v>5.0000000000000001E-4</v>
      </c>
      <c r="D44" s="230"/>
      <c r="E44" s="230"/>
      <c r="F44" s="231"/>
      <c r="G44" s="3348"/>
    </row>
    <row r="45" spans="1:7" s="206" customFormat="1" ht="13.5" customHeight="1">
      <c r="A45" s="247" t="s">
        <v>1547</v>
      </c>
      <c r="B45" s="236" t="s">
        <v>1513</v>
      </c>
      <c r="C45" s="237">
        <f ca="1">C46</f>
        <v>740</v>
      </c>
      <c r="D45" s="227">
        <f ca="1">C47</f>
        <v>3.2000000000000002E-3</v>
      </c>
      <c r="E45" s="228" t="s">
        <v>1539</v>
      </c>
      <c r="F45" s="238">
        <f ca="1">F27</f>
        <v>0.16</v>
      </c>
      <c r="G45" s="239" t="s">
        <v>1548</v>
      </c>
    </row>
    <row r="46" spans="1:7" s="206" customFormat="1" ht="13.5" customHeight="1">
      <c r="A46" s="734" t="s">
        <v>346</v>
      </c>
      <c r="B46" s="240" t="s">
        <v>1549</v>
      </c>
      <c r="C46" s="241">
        <f ca="1">ROUND((C33+C39)*F27,0)</f>
        <v>740</v>
      </c>
      <c r="D46" s="255"/>
      <c r="E46" s="228"/>
      <c r="F46" s="238"/>
      <c r="G46" s="239"/>
    </row>
    <row r="47" spans="1:7" s="206" customFormat="1" ht="13.5" customHeight="1">
      <c r="A47" s="734" t="s">
        <v>347</v>
      </c>
      <c r="B47" s="240" t="s">
        <v>1550</v>
      </c>
      <c r="C47" s="230">
        <f ca="1">ROUND(C40*F27,4)</f>
        <v>3.2000000000000002E-3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5934</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4747</v>
      </c>
      <c r="D51" s="224"/>
      <c r="E51" s="224"/>
      <c r="F51" s="256"/>
      <c r="G51" s="226" t="s">
        <v>1560</v>
      </c>
    </row>
    <row r="52" spans="1:7" s="200" customFormat="1" ht="16.5" thickBot="1">
      <c r="A52" s="257" t="s">
        <v>1561</v>
      </c>
      <c r="B52" s="258"/>
      <c r="C52" s="259">
        <f ca="1">C31+C51</f>
        <v>20999</v>
      </c>
      <c r="D52" s="258"/>
      <c r="E52" s="258"/>
      <c r="F52" s="258"/>
      <c r="G52" s="260"/>
    </row>
    <row r="55" spans="1:7" ht="15">
      <c r="B55" s="262" t="s">
        <v>1562</v>
      </c>
      <c r="C55" s="263"/>
    </row>
    <row r="56" spans="1:7">
      <c r="B56" s="265" t="s">
        <v>802</v>
      </c>
      <c r="C56" s="267">
        <f ca="1">1-C57</f>
        <v>0.77400000000000002</v>
      </c>
    </row>
    <row r="57" spans="1:7">
      <c r="B57" s="265" t="s">
        <v>803</v>
      </c>
      <c r="C57" s="266">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3">
        <f ca="1">ROUND(IF(D2="——",C52/10000,C52/10000-E2),4)</f>
        <v>5230.7824000000001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5789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1807182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1807182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1807182</v>
      </c>
      <c r="D10" s="795">
        <f ca="1">IF(B1="",'数据-汇总表'!E6,IF(INDIRECT("'数据-取费表'!c"&amp;$G$1)="住宅",INDIRECT("'数据-取费表'!s"&amp;$G$1),INDIRECT("'数据-取费表'!k"&amp;$G$1)+INDIRECT("'数据-取费表'!s"&amp;$G$1)))</f>
        <v>9035.91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1807182</v>
      </c>
      <c r="D19" s="204">
        <f ca="1">D9+D10</f>
        <v>9035.91</v>
      </c>
      <c r="E19" s="203">
        <f>'数据-取费表'!B31</f>
        <v>200</v>
      </c>
      <c r="F19" s="223"/>
      <c r="G19" s="1714"/>
    </row>
    <row r="20" spans="1:7" s="206" customFormat="1" ht="13.5" customHeight="1">
      <c r="A20" s="247" t="s">
        <v>1574</v>
      </c>
      <c r="B20" s="202" t="s">
        <v>1575</v>
      </c>
      <c r="C20" s="224">
        <f ca="1">ROUND((C5+C19)*F20,0)</f>
        <v>72287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184943</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91567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91567</v>
      </c>
      <c r="D24" s="230"/>
      <c r="E24" s="230"/>
      <c r="F24" s="231"/>
      <c r="G24" s="232" t="s">
        <v>1586</v>
      </c>
    </row>
    <row r="25" spans="1:7" s="206" customFormat="1" ht="24">
      <c r="A25" s="734" t="s">
        <v>1476</v>
      </c>
      <c r="B25" s="207" t="s">
        <v>1587</v>
      </c>
      <c r="C25" s="230">
        <f ca="1">ROUND(IF('数据-取费表'!B22&lt;=1,C20*F22*'数据-取费表'!B22/2,C20*(POWER((1+F22),'数据-取费表'!B22/2)-1)),0)</f>
        <v>1809</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589864</v>
      </c>
      <c r="D27" s="227">
        <f ca="1">C29</f>
        <v>3.2000000000000002E-3</v>
      </c>
      <c r="E27" s="228" t="s">
        <v>1514</v>
      </c>
      <c r="F27" s="238">
        <f ca="1">IF(B1="",'数据-取费表'!Q16,INDIRECT("'数据-取费表'!q"&amp;$G$1))</f>
        <v>0.16</v>
      </c>
      <c r="G27" s="239" t="s">
        <v>1515</v>
      </c>
    </row>
    <row r="28" spans="1:7" s="206" customFormat="1" ht="13.5" customHeight="1">
      <c r="A28" s="734" t="s">
        <v>346</v>
      </c>
      <c r="B28" s="240" t="s">
        <v>1516</v>
      </c>
      <c r="C28" s="241">
        <f ca="1">ROUND((C5+C19+C20)*F27,0)</f>
        <v>589864</v>
      </c>
      <c r="D28" s="227"/>
      <c r="E28" s="228"/>
      <c r="F28" s="238"/>
      <c r="G28" s="239"/>
    </row>
    <row r="29" spans="1:7" s="206" customFormat="1" ht="13.5" customHeight="1">
      <c r="A29" s="734" t="s">
        <v>347</v>
      </c>
      <c r="B29" s="240" t="s">
        <v>1517</v>
      </c>
      <c r="C29" s="230">
        <f ca="1">ROUND(C21*F27,4)</f>
        <v>3.2000000000000002E-3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4833649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45315089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40661595</v>
      </c>
      <c r="D34" s="209"/>
      <c r="E34" s="212"/>
      <c r="F34" s="249"/>
      <c r="G34" s="211"/>
    </row>
    <row r="35" spans="1:7" ht="13.5" customHeight="1">
      <c r="A35" s="734" t="s">
        <v>351</v>
      </c>
      <c r="B35" s="207" t="s">
        <v>1527</v>
      </c>
      <c r="C35" s="212">
        <f ca="1">ROUND(C34*F35,0)</f>
        <v>2033080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1807182</v>
      </c>
      <c r="D37" s="209">
        <f ca="1">D19</f>
        <v>9035.91</v>
      </c>
      <c r="E37" s="241">
        <f>'数据-取费表'!B35</f>
        <v>200</v>
      </c>
      <c r="F37" s="251"/>
      <c r="G37" s="253"/>
    </row>
    <row r="38" spans="1:7" ht="13.5" customHeight="1">
      <c r="A38" s="734" t="s">
        <v>354</v>
      </c>
      <c r="B38" s="207" t="s">
        <v>1533</v>
      </c>
      <c r="C38" s="212">
        <f ca="1">ROUND(C34*F38,0)</f>
        <v>813232</v>
      </c>
      <c r="D38" s="212"/>
      <c r="E38" s="212"/>
      <c r="F38" s="251">
        <f>'数据-取费表'!B36</f>
        <v>0.02</v>
      </c>
      <c r="G38" s="211" t="s">
        <v>1528</v>
      </c>
    </row>
    <row r="39" spans="1:7" s="206" customFormat="1" ht="13.5" customHeight="1">
      <c r="A39" s="247" t="s">
        <v>1534</v>
      </c>
      <c r="B39" s="202" t="s">
        <v>1535</v>
      </c>
      <c r="C39" s="224">
        <f ca="1">ROUND(C33*F20,0)</f>
        <v>906302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1156516</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1133839</v>
      </c>
      <c r="D42" s="230"/>
      <c r="E42" s="230"/>
      <c r="F42" s="231"/>
      <c r="G42" s="3346" t="s">
        <v>1591</v>
      </c>
    </row>
    <row r="43" spans="1:7" ht="13.5" customHeight="1">
      <c r="A43" s="734" t="s">
        <v>347</v>
      </c>
      <c r="B43" s="207" t="s">
        <v>1545</v>
      </c>
      <c r="C43" s="230">
        <f ca="1">ROUND(IF('数据-取费表'!B22&lt;=1,C39*F22*'数据-取费表'!B20/2,C39*(POWER((1+F22),'数据-取费表'!B20/2)-1)),0)</f>
        <v>22677</v>
      </c>
      <c r="D43" s="230"/>
      <c r="E43" s="230"/>
      <c r="F43" s="231"/>
      <c r="G43" s="3347"/>
    </row>
    <row r="44" spans="1:7" ht="13.5" customHeight="1">
      <c r="A44" s="734" t="s">
        <v>348</v>
      </c>
      <c r="B44" s="207" t="s">
        <v>1546</v>
      </c>
      <c r="C44" s="230">
        <f ca="1">ROUND(IF('数据-取费表'!B22&lt;=1,C40*F22*'数据-取费表'!B20/2,C40*(POWER((1+F22),'数据-取费表'!B20/2)-1)),4)</f>
        <v>5.0000000000000001E-4</v>
      </c>
      <c r="D44" s="230"/>
      <c r="E44" s="230"/>
      <c r="F44" s="231"/>
      <c r="G44" s="3348"/>
    </row>
    <row r="45" spans="1:7" s="206" customFormat="1" ht="13.5" customHeight="1">
      <c r="A45" s="247" t="s">
        <v>1547</v>
      </c>
      <c r="B45" s="236" t="s">
        <v>1513</v>
      </c>
      <c r="C45" s="237">
        <f ca="1">C46</f>
        <v>7395423</v>
      </c>
      <c r="D45" s="227">
        <f ca="1">C47</f>
        <v>3.2000000000000002E-3</v>
      </c>
      <c r="E45" s="228" t="s">
        <v>1539</v>
      </c>
      <c r="F45" s="238">
        <f ca="1">F27</f>
        <v>0.16</v>
      </c>
      <c r="G45" s="239" t="s">
        <v>1548</v>
      </c>
    </row>
    <row r="46" spans="1:7" s="206" customFormat="1" ht="13.5" customHeight="1">
      <c r="A46" s="734" t="s">
        <v>346</v>
      </c>
      <c r="B46" s="240" t="s">
        <v>1549</v>
      </c>
      <c r="C46" s="241">
        <f ca="1">ROUND((C33+C39)*F27,0)</f>
        <v>7395423</v>
      </c>
      <c r="D46" s="255"/>
      <c r="E46" s="228"/>
      <c r="F46" s="238"/>
      <c r="G46" s="239"/>
    </row>
    <row r="47" spans="1:7" s="206" customFormat="1" ht="13.5" customHeight="1">
      <c r="A47" s="734" t="s">
        <v>347</v>
      </c>
      <c r="B47" s="240" t="s">
        <v>1550</v>
      </c>
      <c r="C47" s="230">
        <f ca="1">ROUND(C40*F27,4)</f>
        <v>3.2000000000000002E-3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59342719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47474175</v>
      </c>
      <c r="D51" s="224"/>
      <c r="E51" s="224"/>
      <c r="F51" s="256"/>
      <c r="G51" s="226" t="s">
        <v>1560</v>
      </c>
    </row>
    <row r="52" spans="1:7" s="200" customFormat="1" ht="16.5" thickBot="1">
      <c r="A52" s="257" t="s">
        <v>1561</v>
      </c>
      <c r="B52" s="258"/>
      <c r="C52" s="259">
        <f ca="1">C31+C51</f>
        <v>52307824</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9035.91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9035.91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181</v>
      </c>
      <c r="D20" s="796">
        <f ca="1">IF(C1="",'数据-汇总表'!E6,IF(INDIRECT("'数据-取费表'!c"&amp;$K$1)="住宅",INDIRECT("'数据-取费表'!s"&amp;$K$1),INDIRECT("'数据-取费表'!k"&amp;$K$1)+INDIRECT("'数据-取费表'!s"&amp;$K$1)))</f>
        <v>9035.91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0.16</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21.95</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4485</v>
      </c>
      <c r="C2" s="1289" t="s">
        <v>805</v>
      </c>
      <c r="D2" s="1289"/>
      <c r="E2" s="1295"/>
      <c r="F2" s="1296"/>
      <c r="G2" s="2479"/>
      <c r="H2" s="2469"/>
      <c r="I2" s="2469"/>
      <c r="J2" s="2469"/>
      <c r="K2" s="2470"/>
      <c r="L2" s="2469"/>
      <c r="M2" s="2469"/>
    </row>
    <row r="3" spans="1:37" ht="18" customHeight="1" thickBot="1">
      <c r="A3" s="1297" t="s">
        <v>806</v>
      </c>
      <c r="B3" s="1298">
        <f ca="1">IF(ISERROR(B2*10000/F43),0,ROUND(B2*10000/F43,0))</f>
        <v>29781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371</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371</v>
      </c>
      <c r="D6" s="147" t="s">
        <v>2109</v>
      </c>
      <c r="E6" s="294" t="s">
        <v>696</v>
      </c>
      <c r="F6" s="295">
        <f ca="1">INDIRECT("'数据-取费表'!u"&amp;$G$1)</f>
        <v>7.5</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1505.9849999999999</v>
      </c>
      <c r="G7" s="1292"/>
      <c r="H7" s="296"/>
      <c r="I7" s="3352"/>
      <c r="J7" s="298"/>
      <c r="K7" s="299"/>
      <c r="L7" s="294" t="s">
        <v>697</v>
      </c>
      <c r="M7" s="295">
        <f ca="1">F7</f>
        <v>1505.9849999999999</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3398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819</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678</v>
      </c>
      <c r="D14" s="1257" t="s">
        <v>708</v>
      </c>
      <c r="E14" s="1255"/>
      <c r="F14" s="311"/>
      <c r="G14" s="1292"/>
      <c r="H14" s="928" t="s">
        <v>398</v>
      </c>
      <c r="I14" s="294" t="s">
        <v>709</v>
      </c>
      <c r="J14" s="21">
        <f ca="1">C29</f>
        <v>1024</v>
      </c>
      <c r="K14" s="12"/>
      <c r="L14" s="759"/>
      <c r="M14" s="760"/>
    </row>
    <row r="15" spans="1:37" s="1304" customFormat="1" ht="18" customHeight="1" thickBot="1">
      <c r="A15" s="928" t="s">
        <v>399</v>
      </c>
      <c r="B15" s="294" t="s">
        <v>710</v>
      </c>
      <c r="C15" s="21">
        <f ca="1">ROUND(C14*F15,0)</f>
        <v>34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10</v>
      </c>
      <c r="K16" s="1024" t="s">
        <v>715</v>
      </c>
      <c r="L16" s="1025"/>
      <c r="M16" s="1009"/>
    </row>
    <row r="17" spans="1:37" s="1304" customFormat="1" ht="18" customHeight="1">
      <c r="A17" s="928" t="s">
        <v>681</v>
      </c>
      <c r="B17" s="294" t="s">
        <v>716</v>
      </c>
      <c r="C17" s="21">
        <f ca="1">ROUND(F17*(F43+INDIRECT("'数据-取费表'!S"&amp;$G$1))/10000,0)</f>
        <v>30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756</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15</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10.24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-10</v>
      </c>
      <c r="K25" s="1032" t="s">
        <v>753</v>
      </c>
      <c r="L25" s="1033"/>
      <c r="M25" s="1034"/>
    </row>
    <row r="26" spans="1:37">
      <c r="A26" s="928" t="s">
        <v>397</v>
      </c>
      <c r="B26" s="294" t="s">
        <v>754</v>
      </c>
      <c r="C26" s="21">
        <f ca="1">ROUND((C19+C20)*F26,0)</f>
        <v>154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1024</v>
      </c>
      <c r="D29" s="1029"/>
      <c r="E29" s="1027"/>
      <c r="F29" s="1030"/>
      <c r="G29" s="1303"/>
      <c r="H29" s="325" t="s">
        <v>396</v>
      </c>
      <c r="I29" s="326" t="s">
        <v>768</v>
      </c>
      <c r="J29" s="327">
        <f ca="1">ROUND(J26/(1+F40)^F41,0)</f>
        <v>0</v>
      </c>
      <c r="K29" s="328" t="s">
        <v>769</v>
      </c>
      <c r="L29" s="329"/>
      <c r="M29" s="330">
        <f ca="1">INDIRECT("'数据-取费表'!k"&amp;$G$1)</f>
        <v>1505.9849999999999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62.19</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19.79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42.4</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10.24</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0.82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3.71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294</v>
      </c>
      <c r="D39" s="1032" t="s">
        <v>773</v>
      </c>
      <c r="E39" s="1033"/>
      <c r="F39" s="1034"/>
      <c r="G39" s="1292"/>
      <c r="H39" s="2474"/>
      <c r="I39" s="1305">
        <f ca="1">C39/C5</f>
        <v>0.79245283018867929</v>
      </c>
      <c r="J39" s="1306"/>
      <c r="K39" s="2472"/>
      <c r="L39" s="2474"/>
      <c r="M39" s="2474"/>
    </row>
    <row r="40" spans="1:18" ht="18" customHeight="1">
      <c r="A40" s="291" t="s">
        <v>395</v>
      </c>
      <c r="B40" s="292" t="s">
        <v>774</v>
      </c>
      <c r="C40" s="293">
        <f ca="1">ROUND(C39*(1-((1+F42)/(1+F40))^F41)/(F40-F42),0)</f>
        <v>4394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21.95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29177</v>
      </c>
      <c r="D43" s="328" t="s">
        <v>777</v>
      </c>
      <c r="E43" s="329" t="s">
        <v>778</v>
      </c>
      <c r="F43" s="330">
        <f ca="1">INDIRECT("'数据-取费表'!k"&amp;$G$1)</f>
        <v>1505.9849999999999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-4532</v>
      </c>
      <c r="D46" s="1313" t="str">
        <f>C2</f>
        <v>万元</v>
      </c>
      <c r="E46" s="1307"/>
      <c r="F46" s="1307"/>
      <c r="I46" s="1314" t="s">
        <v>810</v>
      </c>
      <c r="J46" s="1315"/>
      <c r="K46" s="1316"/>
      <c r="L46" s="1317">
        <f ca="1">IF(M47="住宅",0,IF(L48&gt;J51,L60,J60))</f>
        <v>91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3399</v>
      </c>
      <c r="K47" s="1323" t="s">
        <v>816</v>
      </c>
      <c r="L47" s="1324">
        <f ca="1">INDIRECT("'数据-取费表'!d"&amp;$G$1)</f>
        <v>40</v>
      </c>
      <c r="M47" s="1288" t="str">
        <f>IF(ISNUMBER(FIND("住宅",C1)),"住宅","非住宅")</f>
        <v>非住宅</v>
      </c>
      <c r="O47" s="1325" t="s">
        <v>403</v>
      </c>
      <c r="P47" s="1326" t="s">
        <v>817</v>
      </c>
      <c r="Q47" s="1327">
        <f ca="1">C40+J29</f>
        <v>4394</v>
      </c>
      <c r="R47" s="1327" t="s">
        <v>818</v>
      </c>
    </row>
    <row r="48" spans="1:18" s="1292" customFormat="1" ht="28.5" thickBot="1">
      <c r="A48" s="1047" t="s">
        <v>438</v>
      </c>
      <c r="B48" s="292" t="s">
        <v>692</v>
      </c>
      <c r="C48" s="1268">
        <f ca="1">C49+C53+C55</f>
        <v>0</v>
      </c>
      <c r="D48" s="1049"/>
      <c r="E48" s="1050"/>
      <c r="F48" s="908"/>
      <c r="G48" s="681"/>
      <c r="H48" s="682"/>
      <c r="I48" s="1328" t="s">
        <v>819</v>
      </c>
      <c r="J48" s="1329" t="s">
        <v>3400</v>
      </c>
      <c r="K48" s="1330" t="s">
        <v>820</v>
      </c>
      <c r="L48" s="1331">
        <f ca="1">INDIRECT("'数据-取费表'!f"&amp;$G$1)</f>
        <v>21.95</v>
      </c>
      <c r="O48" s="1325" t="s">
        <v>404</v>
      </c>
      <c r="P48" s="1326" t="s">
        <v>821</v>
      </c>
      <c r="Q48" s="1327">
        <f ca="1">J60</f>
        <v>91</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2012</v>
      </c>
      <c r="K49" s="1330" t="s">
        <v>824</v>
      </c>
      <c r="L49" s="1333"/>
      <c r="O49" s="1334" t="s">
        <v>405</v>
      </c>
      <c r="P49" s="1326" t="s">
        <v>825</v>
      </c>
      <c r="Q49" s="1327">
        <f ca="1">C29</f>
        <v>1024</v>
      </c>
      <c r="R49" s="1327" t="s">
        <v>818</v>
      </c>
    </row>
    <row r="50" spans="1:18" s="1292" customFormat="1" ht="13.5" thickBot="1">
      <c r="A50" s="922"/>
      <c r="B50" s="925"/>
      <c r="C50" s="1055"/>
      <c r="D50" s="899"/>
      <c r="E50" s="993" t="s">
        <v>697</v>
      </c>
      <c r="F50" s="994">
        <f ca="1">F7</f>
        <v>1505.9849999999999</v>
      </c>
      <c r="H50" s="682"/>
      <c r="I50" s="1328" t="s">
        <v>826</v>
      </c>
      <c r="J50" s="1335">
        <f>SUMPRODUCT((I63:I65=J47)*(J62:L62=J48)*(J63:L65))</f>
        <v>60</v>
      </c>
      <c r="K50" s="1330" t="s">
        <v>827</v>
      </c>
      <c r="L50" s="1333"/>
      <c r="M50" s="1336"/>
      <c r="O50" s="1334" t="s">
        <v>406</v>
      </c>
      <c r="P50" s="1326" t="s">
        <v>828</v>
      </c>
      <c r="Q50" s="1337">
        <f ca="1">J58</f>
        <v>0.434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4278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21.95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21.95</v>
      </c>
      <c r="K53" s="3349" t="s">
        <v>837</v>
      </c>
      <c r="L53" s="3350"/>
      <c r="O53" s="1325" t="s">
        <v>409</v>
      </c>
      <c r="P53" s="1326" t="s">
        <v>838</v>
      </c>
      <c r="Q53" s="1327">
        <f ca="1">Q47+Q48</f>
        <v>4485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0.434</v>
      </c>
      <c r="K55" s="1350" t="s">
        <v>841</v>
      </c>
      <c r="L55" s="1351"/>
      <c r="O55" s="1318" t="s">
        <v>811</v>
      </c>
      <c r="P55" s="1319" t="s">
        <v>812</v>
      </c>
      <c r="Q55" s="1320" t="s">
        <v>813</v>
      </c>
      <c r="R55" s="1320" t="s">
        <v>814</v>
      </c>
    </row>
    <row r="56" spans="1:18" s="1292" customFormat="1" ht="25.5" thickTop="1" thickBot="1">
      <c r="A56" s="903">
        <v>2</v>
      </c>
      <c r="B56" s="904" t="s">
        <v>704</v>
      </c>
      <c r="C56" s="224">
        <f ca="1">C13</f>
        <v>819</v>
      </c>
      <c r="D56" s="1352"/>
      <c r="E56" s="1353"/>
      <c r="F56" s="1345"/>
      <c r="I56" s="1354" t="s">
        <v>842</v>
      </c>
      <c r="J56" s="1355" t="s">
        <v>3401</v>
      </c>
      <c r="K56" s="1328" t="s">
        <v>843</v>
      </c>
      <c r="L56" s="1331" t="str">
        <f ca="1">IF(L48&lt;J51,"——",L48-J53)</f>
        <v>——</v>
      </c>
      <c r="O56" s="1325" t="s">
        <v>403</v>
      </c>
      <c r="P56" s="1326" t="s">
        <v>817</v>
      </c>
      <c r="Q56" s="1327">
        <f ca="1">C40+J29</f>
        <v>4394</v>
      </c>
      <c r="R56" s="1327" t="s">
        <v>818</v>
      </c>
    </row>
    <row r="57" spans="1:18" s="1292" customFormat="1" ht="24.75" thickBot="1">
      <c r="A57" s="1356"/>
      <c r="B57" s="896" t="s">
        <v>767</v>
      </c>
      <c r="C57" s="230">
        <f ca="1">C29</f>
        <v>1024</v>
      </c>
      <c r="D57" s="1357"/>
      <c r="E57" s="1358"/>
      <c r="F57" s="1359"/>
      <c r="I57" s="1360" t="s">
        <v>844</v>
      </c>
      <c r="J57" s="1361">
        <f ca="1">IF(OR(M47="住宅",J51&lt;L48,J56="是"),"——",J51-L48)</f>
        <v>26.05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11</v>
      </c>
      <c r="D58" s="906" t="s">
        <v>715</v>
      </c>
      <c r="E58" s="907"/>
      <c r="F58" s="908"/>
      <c r="I58" s="1360" t="s">
        <v>848</v>
      </c>
      <c r="J58" s="1362">
        <f ca="1">IF(J55&lt;0.4,0.4,J55)</f>
        <v>0.434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91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f ca="1">Q56+Q57</f>
        <v>4394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10.24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0.82</v>
      </c>
      <c r="D65" s="910" t="s">
        <v>743</v>
      </c>
      <c r="E65" s="896" t="s">
        <v>744</v>
      </c>
      <c r="F65" s="321">
        <f t="shared" ca="1" si="0"/>
        <v>1E-3</v>
      </c>
      <c r="I65" s="1367" t="s">
        <v>867</v>
      </c>
      <c r="J65" s="610">
        <v>40</v>
      </c>
      <c r="K65" s="610">
        <v>30</v>
      </c>
      <c r="L65" s="610">
        <v>50</v>
      </c>
      <c r="M65" s="1369">
        <v>0.02</v>
      </c>
      <c r="O65" s="1325" t="s">
        <v>403</v>
      </c>
      <c r="P65" s="1326" t="s">
        <v>868</v>
      </c>
      <c r="Q65" s="1327">
        <f ca="1">C40+J29</f>
        <v>4394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-11</v>
      </c>
      <c r="D67" s="909" t="s">
        <v>753</v>
      </c>
      <c r="E67" s="914"/>
      <c r="F67" s="915"/>
      <c r="O67" s="1334" t="s">
        <v>405</v>
      </c>
      <c r="P67" s="1326" t="s">
        <v>850</v>
      </c>
      <c r="Q67" s="1370">
        <f ca="1">L51</f>
        <v>4278</v>
      </c>
      <c r="R67" s="1327" t="s">
        <v>870</v>
      </c>
    </row>
    <row r="68" spans="1:18" s="1292" customFormat="1" ht="16.5" thickBot="1">
      <c r="A68" s="893" t="s">
        <v>395</v>
      </c>
      <c r="B68" s="894" t="s">
        <v>774</v>
      </c>
      <c r="C68" s="293">
        <f ca="1">ROUND(C67*(1-((1+F70)/(1+F68))^F69)/(F68-F70),0)</f>
        <v>-138</v>
      </c>
      <c r="D68" s="911" t="s">
        <v>758</v>
      </c>
      <c r="E68" s="896" t="s">
        <v>759</v>
      </c>
      <c r="F68" s="304">
        <f ca="1">F40</f>
        <v>5.5E-2</v>
      </c>
      <c r="O68" s="1334" t="s">
        <v>406</v>
      </c>
      <c r="P68" s="1371" t="s">
        <v>871</v>
      </c>
      <c r="Q68" s="1327">
        <f ca="1">ROUND(Q69-Q70*Q71,0)</f>
        <v>237</v>
      </c>
      <c r="R68" s="1327" t="s">
        <v>414</v>
      </c>
    </row>
    <row r="69" spans="1:18" s="1292" customFormat="1" ht="13.5" thickBot="1">
      <c r="A69" s="897"/>
      <c r="B69" s="898"/>
      <c r="C69" s="298"/>
      <c r="D69" s="916" t="s">
        <v>762</v>
      </c>
      <c r="E69" s="896" t="s">
        <v>763</v>
      </c>
      <c r="F69" s="324">
        <f ca="1">F41</f>
        <v>21.95</v>
      </c>
      <c r="O69" s="1334" t="s">
        <v>411</v>
      </c>
      <c r="P69" s="1371" t="s">
        <v>872</v>
      </c>
      <c r="Q69" s="1327">
        <f ca="1">C39</f>
        <v>294</v>
      </c>
      <c r="R69" s="1327" t="s">
        <v>818</v>
      </c>
    </row>
    <row r="70" spans="1:18" s="1292" customFormat="1" ht="13.5" thickBot="1">
      <c r="A70" s="900"/>
      <c r="B70" s="901"/>
      <c r="C70" s="302"/>
      <c r="D70" s="912"/>
      <c r="E70" s="896" t="s">
        <v>766</v>
      </c>
      <c r="F70" s="991"/>
      <c r="O70" s="1334" t="s">
        <v>412</v>
      </c>
      <c r="P70" s="1371" t="s">
        <v>873</v>
      </c>
      <c r="Q70" s="1327">
        <f ca="1">C13</f>
        <v>819</v>
      </c>
      <c r="R70" s="1327" t="s">
        <v>818</v>
      </c>
    </row>
    <row r="71" spans="1:18" s="1292" customFormat="1" ht="13.5" thickBot="1">
      <c r="A71" s="917" t="s">
        <v>396</v>
      </c>
      <c r="B71" s="918" t="s">
        <v>776</v>
      </c>
      <c r="C71" s="327">
        <f ca="1">ROUND(C68*10000/F71,0)</f>
        <v>-916</v>
      </c>
      <c r="D71" s="919" t="s">
        <v>777</v>
      </c>
      <c r="E71" s="920" t="s">
        <v>778</v>
      </c>
      <c r="F71" s="330">
        <f ca="1">F43</f>
        <v>1505.9849999999999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57</v>
      </c>
      <c r="D75" s="1292"/>
      <c r="E75" s="1292"/>
      <c r="F75" s="1292"/>
      <c r="K75" s="1309"/>
      <c r="L75" s="1292"/>
      <c r="O75" s="1325" t="s">
        <v>409</v>
      </c>
      <c r="P75" s="1326" t="s">
        <v>838</v>
      </c>
      <c r="Q75" s="1327">
        <f ca="1">Q65+Q66</f>
        <v>4394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0.80600000000000005</v>
      </c>
    </row>
    <row r="80" spans="1:18">
      <c r="B80" s="331" t="s">
        <v>800</v>
      </c>
      <c r="C80" s="266">
        <f ca="1">ROUND(C75/C39,3)</f>
        <v>0.19400000000000001</v>
      </c>
    </row>
    <row r="81" spans="2:3">
      <c r="B81" s="262" t="s">
        <v>801</v>
      </c>
      <c r="C81" s="230"/>
    </row>
    <row r="82" spans="2:3">
      <c r="B82" s="265" t="s">
        <v>802</v>
      </c>
      <c r="C82" s="267">
        <f ca="1">1-C83</f>
        <v>0.81400000000000006</v>
      </c>
    </row>
    <row r="83" spans="2:3">
      <c r="B83" s="265" t="s">
        <v>803</v>
      </c>
      <c r="C83" s="266">
        <f ca="1">ROUND(C13/C40,3)</f>
        <v>0.186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0</v>
      </c>
      <c r="D6" s="147" t="s">
        <v>2106</v>
      </c>
      <c r="E6" s="294" t="s">
        <v>696</v>
      </c>
      <c r="F6" s="295">
        <f ca="1">INDIRECT("'数据-取费表'!u"&amp;$G$1)</f>
        <v>0</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#DIV/0!</v>
      </c>
      <c r="D45" s="3131"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H44" sqref="H44"/>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3361</v>
      </c>
      <c r="E2" s="3140"/>
      <c r="F2" s="2598"/>
      <c r="G2" s="2599"/>
      <c r="H2" s="2600"/>
      <c r="I2" s="2601"/>
      <c r="J2" s="3360" t="s">
        <v>2319</v>
      </c>
      <c r="K2" s="3361"/>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62" t="s">
        <v>2329</v>
      </c>
      <c r="K3" s="3363"/>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62" t="s">
        <v>2331</v>
      </c>
      <c r="K4" s="3363"/>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68" t="s">
        <v>2335</v>
      </c>
      <c r="B6" s="3369"/>
      <c r="C6" s="3370"/>
      <c r="D6" s="2622"/>
      <c r="E6" s="2623"/>
      <c r="F6" s="2624"/>
      <c r="G6" s="2625"/>
      <c r="H6" s="2600"/>
      <c r="I6" s="2601"/>
      <c r="J6" s="3354">
        <v>1</v>
      </c>
      <c r="K6" s="3355"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54"/>
      <c r="K7" s="3356"/>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71" t="s">
        <v>2349</v>
      </c>
      <c r="C8" s="3372"/>
      <c r="D8" s="2641" t="s">
        <v>2350</v>
      </c>
      <c r="E8" s="2642" t="s">
        <v>2351</v>
      </c>
      <c r="F8" s="2643" t="s">
        <v>2352</v>
      </c>
      <c r="G8" s="2644"/>
      <c r="H8" s="2600"/>
      <c r="I8" s="2601"/>
      <c r="J8" s="3354"/>
      <c r="K8" s="3356"/>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71" t="s">
        <v>2355</v>
      </c>
      <c r="C9" s="3372"/>
      <c r="D9" s="2641">
        <f>ROUND(D6*E9,0)</f>
        <v>0</v>
      </c>
      <c r="E9" s="2645"/>
      <c r="F9" s="2646" t="s">
        <v>2356</v>
      </c>
      <c r="G9" s="2625"/>
      <c r="H9" s="2600"/>
      <c r="I9" s="2601"/>
      <c r="J9" s="3354"/>
      <c r="K9" s="3356"/>
      <c r="L9" s="2635" t="s">
        <v>2357</v>
      </c>
      <c r="M9" s="2636"/>
      <c r="N9" s="2612"/>
      <c r="O9" s="2637"/>
      <c r="P9" s="2637"/>
      <c r="Q9" s="2638">
        <v>365</v>
      </c>
      <c r="R9" s="2639">
        <f t="shared" si="0"/>
        <v>0</v>
      </c>
      <c r="S9" s="2593"/>
      <c r="T9" s="2593"/>
      <c r="U9" s="2593"/>
      <c r="V9" s="2601"/>
    </row>
    <row r="10" spans="1:22" s="2605" customFormat="1" ht="13.15" customHeight="1">
      <c r="A10" s="2640">
        <v>2</v>
      </c>
      <c r="B10" s="3371" t="s">
        <v>2358</v>
      </c>
      <c r="C10" s="3372"/>
      <c r="D10" s="2641">
        <f>ROUND(D6*E10,0)</f>
        <v>0</v>
      </c>
      <c r="E10" s="2645"/>
      <c r="F10" s="2646" t="s">
        <v>2359</v>
      </c>
      <c r="G10" s="2625"/>
      <c r="H10" s="2600"/>
      <c r="I10" s="2601"/>
      <c r="J10" s="3354"/>
      <c r="K10" s="3356"/>
      <c r="L10" s="2635" t="s">
        <v>2360</v>
      </c>
      <c r="M10" s="2636"/>
      <c r="N10" s="2612"/>
      <c r="O10" s="2637"/>
      <c r="P10" s="2637"/>
      <c r="Q10" s="2638">
        <v>365</v>
      </c>
      <c r="R10" s="2639">
        <f t="shared" si="0"/>
        <v>0</v>
      </c>
      <c r="S10" s="2593"/>
      <c r="T10" s="2593"/>
      <c r="U10" s="2593"/>
      <c r="V10" s="2601"/>
    </row>
    <row r="11" spans="1:22" s="2605" customFormat="1" ht="13.15" customHeight="1">
      <c r="A11" s="2640">
        <v>3</v>
      </c>
      <c r="B11" s="3371" t="s">
        <v>2361</v>
      </c>
      <c r="C11" s="3372"/>
      <c r="D11" s="2641">
        <f>D12+D14+D15+D16</f>
        <v>0</v>
      </c>
      <c r="E11" s="2647" t="e">
        <f>D11/D6</f>
        <v>#DIV/0!</v>
      </c>
      <c r="F11" s="2643"/>
      <c r="G11" s="2644"/>
      <c r="H11" s="2600"/>
      <c r="I11" s="2601"/>
      <c r="J11" s="3354"/>
      <c r="K11" s="3356"/>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64" t="s">
        <v>2364</v>
      </c>
      <c r="C12" s="3365"/>
      <c r="D12" s="2649">
        <f>ROUND(D13*1.2%*(1-30%),0)</f>
        <v>0</v>
      </c>
      <c r="E12" s="2650">
        <v>1.2E-2</v>
      </c>
      <c r="F12" s="2643" t="s">
        <v>2365</v>
      </c>
      <c r="G12" s="2644"/>
      <c r="H12" s="2600"/>
      <c r="I12" s="2601"/>
      <c r="J12" s="3354"/>
      <c r="K12" s="3356"/>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54"/>
      <c r="K13" s="3356"/>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64" t="s">
        <v>2370</v>
      </c>
      <c r="C14" s="3365"/>
      <c r="D14" s="2649">
        <f>ROUND(E14*B5/10000,0)</f>
        <v>0</v>
      </c>
      <c r="E14" s="2638"/>
      <c r="F14" s="2643" t="s">
        <v>2371</v>
      </c>
      <c r="G14" s="2644"/>
      <c r="H14" s="2600"/>
      <c r="I14" s="2601"/>
      <c r="J14" s="3354"/>
      <c r="K14" s="3357"/>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64" t="s">
        <v>2374</v>
      </c>
      <c r="C15" s="3365"/>
      <c r="D15" s="2649">
        <f>ROUND(D6*E15,0)</f>
        <v>0</v>
      </c>
      <c r="E15" s="2650">
        <v>5.5E-2</v>
      </c>
      <c r="F15" s="2643" t="s">
        <v>2375</v>
      </c>
      <c r="G15" s="2625"/>
      <c r="H15" s="2600"/>
      <c r="I15" s="2601"/>
      <c r="J15" s="3354">
        <v>2</v>
      </c>
      <c r="K15" s="3355"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64" t="s">
        <v>2383</v>
      </c>
      <c r="C16" s="3365"/>
      <c r="D16" s="2660">
        <f>D6*E16</f>
        <v>0</v>
      </c>
      <c r="E16" s="2661"/>
      <c r="F16" s="2646" t="s">
        <v>2384</v>
      </c>
      <c r="G16" s="2625"/>
      <c r="H16" s="2600"/>
      <c r="I16" s="2601"/>
      <c r="J16" s="3354"/>
      <c r="K16" s="3356"/>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66" t="s">
        <v>2386</v>
      </c>
      <c r="C17" s="3367"/>
      <c r="D17" s="2663">
        <f>ROUND(D6*E17,0)</f>
        <v>0</v>
      </c>
      <c r="E17" s="2664"/>
      <c r="F17" s="2665" t="s">
        <v>2387</v>
      </c>
      <c r="G17" s="2625"/>
      <c r="H17" s="2600"/>
      <c r="I17" s="2601"/>
      <c r="J17" s="3354"/>
      <c r="K17" s="3356"/>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54"/>
      <c r="K18" s="3356"/>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54"/>
      <c r="K19" s="3357"/>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4">
        <v>3</v>
      </c>
      <c r="K20" s="3355"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54"/>
      <c r="K21" s="3356"/>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54"/>
      <c r="K22" s="3356"/>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54"/>
      <c r="K23" s="3356"/>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54"/>
      <c r="K24" s="3357"/>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58">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5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60" t="s">
        <v>2319</v>
      </c>
      <c r="K32" s="3361"/>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62" t="s">
        <v>2329</v>
      </c>
      <c r="K33" s="3363"/>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62" t="s">
        <v>2331</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54">
        <v>1</v>
      </c>
      <c r="K36" s="3355"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54"/>
      <c r="K37" s="3356"/>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4"/>
      <c r="K38" s="3356"/>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54"/>
      <c r="K39" s="3356"/>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54"/>
      <c r="K40" s="3357"/>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8">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5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AA95-493E-4A15-865B-2DA2162CDA37}">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31.96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18405</v>
      </c>
      <c r="C2" s="1289" t="s">
        <v>805</v>
      </c>
      <c r="D2" s="1289"/>
      <c r="E2" s="1295"/>
      <c r="F2" s="1296"/>
      <c r="G2" s="2479"/>
      <c r="H2" s="2469"/>
      <c r="I2" s="2469"/>
      <c r="J2" s="2469"/>
      <c r="K2" s="2470"/>
      <c r="L2" s="2469"/>
      <c r="M2" s="2469"/>
    </row>
    <row r="3" spans="1:37" ht="18" customHeight="1" thickBot="1">
      <c r="A3" s="1297" t="s">
        <v>806</v>
      </c>
      <c r="B3" s="1298">
        <f ca="1">IF(ISERROR(B2*10000/F43),0,ROUND(B2*10000/F43,0))</f>
        <v>24442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1239</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1237</v>
      </c>
      <c r="D6" s="147" t="s">
        <v>2109</v>
      </c>
      <c r="E6" s="294" t="s">
        <v>696</v>
      </c>
      <c r="F6" s="295">
        <f ca="1">INDIRECT("'数据-取费表'!u"&amp;$G$1)</f>
        <v>5</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7529.9250000000002</v>
      </c>
      <c r="G7" s="1292"/>
      <c r="H7" s="296"/>
      <c r="I7" s="3352"/>
      <c r="J7" s="298"/>
      <c r="K7" s="299"/>
      <c r="L7" s="294" t="s">
        <v>697</v>
      </c>
      <c r="M7" s="295">
        <f ca="1">F7</f>
        <v>7529.9250000000002</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2116</v>
      </c>
      <c r="E10" s="305" t="s">
        <v>701</v>
      </c>
      <c r="F10" s="1053" t="s">
        <v>3398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3922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3388</v>
      </c>
      <c r="D14" s="1257" t="s">
        <v>708</v>
      </c>
      <c r="E14" s="1255"/>
      <c r="F14" s="311"/>
      <c r="G14" s="1292"/>
      <c r="H14" s="928" t="s">
        <v>398</v>
      </c>
      <c r="I14" s="294" t="s">
        <v>709</v>
      </c>
      <c r="J14" s="21">
        <f ca="1">C29</f>
        <v>4903</v>
      </c>
      <c r="K14" s="12"/>
      <c r="L14" s="759"/>
      <c r="M14" s="760"/>
    </row>
    <row r="15" spans="1:37" s="1304" customFormat="1" ht="18" customHeight="1" thickBot="1">
      <c r="A15" s="928" t="s">
        <v>399</v>
      </c>
      <c r="B15" s="294" t="s">
        <v>710</v>
      </c>
      <c r="C15" s="21">
        <f ca="1">ROUND(C14*F15,0)</f>
        <v>169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49</v>
      </c>
      <c r="K16" s="1024" t="s">
        <v>715</v>
      </c>
      <c r="L16" s="1025"/>
      <c r="M16" s="1009"/>
    </row>
    <row r="17" spans="1:37" s="1304" customFormat="1" ht="18" customHeight="1">
      <c r="A17" s="928" t="s">
        <v>681</v>
      </c>
      <c r="B17" s="294" t="s">
        <v>716</v>
      </c>
      <c r="C17" s="21">
        <f ca="1">ROUND(F17*(F43+INDIRECT("'数据-取费表'!S"&amp;$G$1))/10000,0)</f>
        <v>151</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68</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3776</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76</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49.03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96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-49</v>
      </c>
      <c r="K25" s="1032" t="s">
        <v>753</v>
      </c>
      <c r="L25" s="1033"/>
      <c r="M25" s="1034"/>
    </row>
    <row r="26" spans="1:37">
      <c r="A26" s="928" t="s">
        <v>397</v>
      </c>
      <c r="B26" s="294" t="s">
        <v>754</v>
      </c>
      <c r="C26" s="21">
        <f ca="1">ROUND((C19+C20)*F26,0)</f>
        <v>578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4903</v>
      </c>
      <c r="D29" s="1029"/>
      <c r="E29" s="1027"/>
      <c r="F29" s="1030"/>
      <c r="G29" s="1303"/>
      <c r="H29" s="325" t="s">
        <v>396</v>
      </c>
      <c r="I29" s="326" t="s">
        <v>768</v>
      </c>
      <c r="J29" s="327">
        <f ca="1">ROUND(J26/(1+F40)^F41,0)</f>
        <v>0</v>
      </c>
      <c r="K29" s="328" t="s">
        <v>769</v>
      </c>
      <c r="L29" s="329"/>
      <c r="M29" s="330">
        <f ca="1">INDIRECT("'数据-取费表'!k"&amp;$G$1)</f>
        <v>7529.9250000000002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273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207.34</v>
      </c>
      <c r="D31" s="1257" t="s">
        <v>720</v>
      </c>
      <c r="E31" s="1256" t="s">
        <v>770</v>
      </c>
      <c r="F31" s="2139" t="str">
        <f>IF(项目基本情况!B11="企业","——",IF(M47="住宅",IF(F6*F7*F8/12/(1+'数据-取费表'!F30)&gt;100000,4%,2.5%),IF(F6*F7*F8/12/(1+'数据-取费表'!F30)&gt;100000,12%,7%)))</f>
        <v>——</v>
      </c>
      <c r="G31" s="1292"/>
      <c r="H31" s="2570" t="s">
        <v>2308</v>
      </c>
      <c r="I31" s="1305"/>
      <c r="J31" s="1306"/>
      <c r="K31" s="121"/>
      <c r="L31" s="2472"/>
      <c r="M31" s="2473"/>
    </row>
    <row r="32" spans="1:37" ht="18" customHeight="1">
      <c r="A32" s="928" t="s">
        <v>397</v>
      </c>
      <c r="B32" s="294" t="s">
        <v>723</v>
      </c>
      <c r="C32" s="21">
        <f ca="1">IF(项目基本情况!B11="自然人","——",ROUND(C6*F32/(1+'数据-取费表'!C42),2))</f>
        <v>65.97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141.37</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49.03</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3.92</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12.39</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966</v>
      </c>
      <c r="D39" s="1032" t="s">
        <v>753</v>
      </c>
      <c r="E39" s="1033"/>
      <c r="F39" s="1034"/>
      <c r="G39" s="1292"/>
      <c r="H39" s="2474"/>
      <c r="I39" s="1305">
        <f ca="1">C39/C5</f>
        <v>0.77966101694915257</v>
      </c>
      <c r="J39" s="1306"/>
      <c r="K39" s="2472"/>
      <c r="L39" s="2474"/>
      <c r="M39" s="2474"/>
    </row>
    <row r="40" spans="1:18" ht="18" customHeight="1">
      <c r="A40" s="291" t="s">
        <v>395</v>
      </c>
      <c r="B40" s="292" t="s">
        <v>774</v>
      </c>
      <c r="C40" s="293">
        <f ca="1">ROUND(C39*(1-((1+F42)/(1+F40))^F41)/(F40-F42),0)</f>
        <v>18211</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31.96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24185</v>
      </c>
      <c r="D43" s="328" t="s">
        <v>777</v>
      </c>
      <c r="E43" s="329" t="s">
        <v>778</v>
      </c>
      <c r="F43" s="330">
        <f ca="1">INDIRECT("'数据-取费表'!k"&amp;$G$1)</f>
        <v>7529.9250000000002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-19001</v>
      </c>
      <c r="D46" s="1313" t="str">
        <f>C2</f>
        <v>万元</v>
      </c>
      <c r="E46" s="1307"/>
      <c r="F46" s="1307"/>
      <c r="I46" s="1314" t="s">
        <v>810</v>
      </c>
      <c r="J46" s="1315"/>
      <c r="K46" s="1316"/>
      <c r="L46" s="1317">
        <f ca="1">IF(M47="住宅",0,IF(L48&gt;J51,L60,J60))</f>
        <v>194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3399</v>
      </c>
      <c r="K47" s="1323" t="s">
        <v>816</v>
      </c>
      <c r="L47" s="1324">
        <f ca="1">INDIRECT("'数据-取费表'!d"&amp;$G$1)</f>
        <v>50</v>
      </c>
      <c r="M47" s="1288" t="str">
        <f>IF(ISNUMBER(FIND("住宅",C1)),"住宅","非住宅")</f>
        <v>非住宅</v>
      </c>
      <c r="O47" s="1325" t="s">
        <v>403</v>
      </c>
      <c r="P47" s="1326" t="s">
        <v>817</v>
      </c>
      <c r="Q47" s="1327">
        <f ca="1">C40+J29</f>
        <v>18211</v>
      </c>
      <c r="R47" s="1327" t="s">
        <v>818</v>
      </c>
    </row>
    <row r="48" spans="1:18" s="1292" customFormat="1" ht="28.5" thickBot="1">
      <c r="A48" s="1047" t="s">
        <v>438</v>
      </c>
      <c r="B48" s="292" t="s">
        <v>692</v>
      </c>
      <c r="C48" s="1268">
        <f ca="1">C49+C53+C55</f>
        <v>0</v>
      </c>
      <c r="D48" s="1049"/>
      <c r="E48" s="1050"/>
      <c r="F48" s="908"/>
      <c r="G48" s="681"/>
      <c r="H48" s="682"/>
      <c r="I48" s="1328" t="s">
        <v>819</v>
      </c>
      <c r="J48" s="1329" t="s">
        <v>3400</v>
      </c>
      <c r="K48" s="1330" t="s">
        <v>820</v>
      </c>
      <c r="L48" s="1331">
        <f ca="1">INDIRECT("'数据-取费表'!f"&amp;$G$1)</f>
        <v>31.96</v>
      </c>
      <c r="O48" s="1325" t="s">
        <v>404</v>
      </c>
      <c r="P48" s="1326" t="s">
        <v>821</v>
      </c>
      <c r="Q48" s="1327">
        <f ca="1">J60</f>
        <v>194</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2012</v>
      </c>
      <c r="K49" s="1330" t="s">
        <v>824</v>
      </c>
      <c r="L49" s="1333"/>
      <c r="O49" s="1334" t="s">
        <v>405</v>
      </c>
      <c r="P49" s="1326" t="s">
        <v>825</v>
      </c>
      <c r="Q49" s="1327">
        <f ca="1">C29</f>
        <v>4903</v>
      </c>
      <c r="R49" s="1327" t="s">
        <v>818</v>
      </c>
    </row>
    <row r="50" spans="1:18" s="1292" customFormat="1" ht="13.5" thickBot="1">
      <c r="A50" s="922"/>
      <c r="B50" s="925"/>
      <c r="C50" s="1055"/>
      <c r="D50" s="899"/>
      <c r="E50" s="993" t="s">
        <v>697</v>
      </c>
      <c r="F50" s="994">
        <f ca="1">F7</f>
        <v>7529.9250000000002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12500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31.96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31.96</v>
      </c>
      <c r="K53" s="3349" t="s">
        <v>837</v>
      </c>
      <c r="L53" s="3350"/>
      <c r="O53" s="1325" t="s">
        <v>409</v>
      </c>
      <c r="P53" s="1326" t="s">
        <v>838</v>
      </c>
      <c r="Q53" s="1327">
        <f ca="1">Q47+Q48</f>
        <v>18405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0.26700000000000002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3922</v>
      </c>
      <c r="D56" s="1352"/>
      <c r="E56" s="1353"/>
      <c r="F56" s="1345"/>
      <c r="I56" s="1354" t="s">
        <v>842</v>
      </c>
      <c r="J56" s="1355" t="s">
        <v>3401</v>
      </c>
      <c r="K56" s="1328" t="s">
        <v>843</v>
      </c>
      <c r="L56" s="1331" t="str">
        <f ca="1">IF(L48&lt;J51,"——",L48-J53)</f>
        <v>——</v>
      </c>
      <c r="O56" s="1325" t="s">
        <v>403</v>
      </c>
      <c r="P56" s="1326" t="s">
        <v>817</v>
      </c>
      <c r="Q56" s="1327">
        <f ca="1">C40+J29</f>
        <v>18211</v>
      </c>
      <c r="R56" s="1327" t="s">
        <v>818</v>
      </c>
    </row>
    <row r="57" spans="1:18" s="1292" customFormat="1" ht="24.75" thickBot="1">
      <c r="A57" s="1356"/>
      <c r="B57" s="896" t="s">
        <v>767</v>
      </c>
      <c r="C57" s="230">
        <f ca="1">C29</f>
        <v>4903</v>
      </c>
      <c r="D57" s="1357"/>
      <c r="E57" s="1358"/>
      <c r="F57" s="1359"/>
      <c r="I57" s="1360" t="s">
        <v>844</v>
      </c>
      <c r="J57" s="1361">
        <f ca="1">IF(OR(M47="住宅",J51&lt;L48,J56="是"),"——",J51-L48)</f>
        <v>16.04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1961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194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3338</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18</v>
      </c>
      <c r="I62" s="1367" t="s">
        <v>858</v>
      </c>
      <c r="J62" s="610" t="s">
        <v>859</v>
      </c>
      <c r="K62" s="610" t="s">
        <v>860</v>
      </c>
      <c r="L62" s="610" t="s">
        <v>861</v>
      </c>
      <c r="M62" s="1368" t="s">
        <v>862</v>
      </c>
      <c r="O62" s="1325" t="s">
        <v>409</v>
      </c>
      <c r="P62" s="1326" t="s">
        <v>838</v>
      </c>
      <c r="Q62" s="1327">
        <f ca="1">Q56+Q57</f>
        <v>18211</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49.03</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3.92</v>
      </c>
      <c r="D65" s="910" t="s">
        <v>743</v>
      </c>
      <c r="E65" s="896" t="s">
        <v>712</v>
      </c>
      <c r="F65" s="321">
        <f t="shared" ca="1" si="0"/>
        <v>1E-3</v>
      </c>
      <c r="I65" s="1367" t="s">
        <v>867</v>
      </c>
      <c r="J65" s="610">
        <v>40</v>
      </c>
      <c r="K65" s="610">
        <v>30</v>
      </c>
      <c r="L65" s="610">
        <v>50</v>
      </c>
      <c r="M65" s="1369">
        <v>0.02</v>
      </c>
      <c r="O65" s="1325" t="s">
        <v>403</v>
      </c>
      <c r="P65" s="1326" t="s">
        <v>817</v>
      </c>
      <c r="Q65" s="1327">
        <f ca="1">C40+J29</f>
        <v>18211</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-53</v>
      </c>
      <c r="D67" s="909" t="s">
        <v>753</v>
      </c>
      <c r="E67" s="914"/>
      <c r="F67" s="915"/>
      <c r="O67" s="1334" t="s">
        <v>405</v>
      </c>
      <c r="P67" s="1326" t="s">
        <v>850</v>
      </c>
      <c r="Q67" s="1370">
        <f ca="1">L51</f>
        <v>12500</v>
      </c>
      <c r="R67" s="1327" t="s">
        <v>870</v>
      </c>
    </row>
    <row r="68" spans="1:18" s="1292" customFormat="1" ht="16.5" thickBot="1">
      <c r="A68" s="893" t="s">
        <v>395</v>
      </c>
      <c r="B68" s="894" t="s">
        <v>774</v>
      </c>
      <c r="C68" s="293">
        <f ca="1">ROUND(C67*(1-((1+F70)/(1+F68))^F69)/(F68-F70),0)</f>
        <v>-790</v>
      </c>
      <c r="D68" s="911" t="s">
        <v>758</v>
      </c>
      <c r="E68" s="896" t="s">
        <v>759</v>
      </c>
      <c r="F68" s="304">
        <f ca="1">F40</f>
        <v>5.5E-2</v>
      </c>
      <c r="O68" s="1334" t="s">
        <v>406</v>
      </c>
      <c r="P68" s="1371" t="s">
        <v>871</v>
      </c>
      <c r="Q68" s="1327">
        <f ca="1">ROUND(Q69-Q70*Q71,0)</f>
        <v>691</v>
      </c>
      <c r="R68" s="1327" t="s">
        <v>414</v>
      </c>
    </row>
    <row r="69" spans="1:18" s="1292" customFormat="1" ht="13.5" thickBot="1">
      <c r="A69" s="897"/>
      <c r="B69" s="898"/>
      <c r="C69" s="298"/>
      <c r="D69" s="916" t="s">
        <v>762</v>
      </c>
      <c r="E69" s="896" t="s">
        <v>763</v>
      </c>
      <c r="F69" s="324">
        <f ca="1">F41</f>
        <v>31.96</v>
      </c>
      <c r="O69" s="1334" t="s">
        <v>411</v>
      </c>
      <c r="P69" s="1371" t="s">
        <v>872</v>
      </c>
      <c r="Q69" s="1327">
        <f ca="1">C39</f>
        <v>966</v>
      </c>
      <c r="R69" s="1327" t="s">
        <v>818</v>
      </c>
    </row>
    <row r="70" spans="1:18" s="1292" customFormat="1" ht="13.5" thickBot="1">
      <c r="A70" s="900"/>
      <c r="B70" s="901"/>
      <c r="C70" s="302"/>
      <c r="D70" s="912"/>
      <c r="E70" s="896" t="s">
        <v>766</v>
      </c>
      <c r="F70" s="991"/>
      <c r="O70" s="1334" t="s">
        <v>412</v>
      </c>
      <c r="P70" s="1371" t="s">
        <v>873</v>
      </c>
      <c r="Q70" s="1327">
        <f ca="1">C13</f>
        <v>3922</v>
      </c>
      <c r="R70" s="1327" t="s">
        <v>818</v>
      </c>
    </row>
    <row r="71" spans="1:18" s="1292" customFormat="1" ht="13.5" thickBot="1">
      <c r="A71" s="917" t="s">
        <v>396</v>
      </c>
      <c r="B71" s="918" t="s">
        <v>776</v>
      </c>
      <c r="C71" s="327">
        <f ca="1">ROUND(C68*10000/F71,0)</f>
        <v>-1049</v>
      </c>
      <c r="D71" s="919" t="s">
        <v>777</v>
      </c>
      <c r="E71" s="920" t="s">
        <v>778</v>
      </c>
      <c r="F71" s="330">
        <f ca="1">F43</f>
        <v>7529.9250000000002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275</v>
      </c>
      <c r="D75" s="1292"/>
      <c r="E75" s="1292"/>
      <c r="F75" s="1292"/>
      <c r="K75" s="1309"/>
      <c r="L75" s="1292"/>
      <c r="O75" s="1325" t="s">
        <v>409</v>
      </c>
      <c r="P75" s="1326" t="s">
        <v>838</v>
      </c>
      <c r="Q75" s="1327">
        <f ca="1">Q65+Q66</f>
        <v>18211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0.71500000000000008</v>
      </c>
    </row>
    <row r="80" spans="1:18">
      <c r="B80" s="331" t="s">
        <v>800</v>
      </c>
      <c r="C80" s="266">
        <f ca="1">ROUND(C75/C39,3)</f>
        <v>0.28499999999999998</v>
      </c>
    </row>
    <row r="81" spans="2:3">
      <c r="B81" s="262" t="s">
        <v>801</v>
      </c>
      <c r="C81" s="230"/>
    </row>
    <row r="82" spans="2:3">
      <c r="B82" s="265" t="s">
        <v>802</v>
      </c>
      <c r="C82" s="267">
        <f ca="1">1-C83</f>
        <v>0.78500000000000003</v>
      </c>
    </row>
    <row r="83" spans="2:3">
      <c r="B83" s="265" t="s">
        <v>803</v>
      </c>
      <c r="C83" s="266">
        <f ca="1">ROUND(C13/C40,3)</f>
        <v>0.215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79C992CD-7682-4147-BA72-E54FD06DE8C6}">
      <formula1>"在建（套用方法）,土地（套用方法）,——"</formula1>
    </dataValidation>
    <dataValidation type="list" allowBlank="1" showInputMessage="1" showErrorMessage="1" sqref="M10 F10 F53" xr:uid="{5C13AC42-069F-4F90-A86E-45A5C29F40F6}">
      <formula1>"押一,押二,押三,自定义"</formula1>
    </dataValidation>
    <dataValidation type="list" allowBlank="1" showInputMessage="1" showErrorMessage="1" sqref="L55" xr:uid="{16A5FB38-1243-4096-BE51-9D22DA0CDEE4}">
      <formula1>"比较法,基准地价,收益还原"</formula1>
    </dataValidation>
    <dataValidation type="list" allowBlank="1" showInputMessage="1" showErrorMessage="1" sqref="J56" xr:uid="{0D2E8CEA-D6EF-44D7-B851-A535B9A29543}">
      <formula1>估价范围判定</formula1>
    </dataValidation>
    <dataValidation type="list" allowBlank="1" showInputMessage="1" showErrorMessage="1" sqref="J48" xr:uid="{83ABD2C5-DAB4-47FF-9421-972DB9C2EA86}">
      <formula1>"非生产用房,生产用房,受腐蚀的生产用房"</formula1>
    </dataValidation>
    <dataValidation type="list" allowBlank="1" showInputMessage="1" showErrorMessage="1" sqref="J47" xr:uid="{4170648A-3DBC-4329-BF59-7302CFBEFC63}">
      <formula1>"钢,钢混,砖混"</formula1>
    </dataValidation>
    <dataValidation type="list" allowBlank="1" showInputMessage="1" showErrorMessage="1" sqref="C1" xr:uid="{4B00C3BB-B4F4-4C48-A1DE-41F8428A4B85}">
      <formula1>项目类型</formula1>
    </dataValidation>
    <dataValidation type="list" allowBlank="1" showInputMessage="1" showErrorMessage="1" sqref="D33 D61" xr:uid="{EEEEA5FC-9991-4740-AF22-4AF5494EC11F}">
      <formula1>"按租金收入计税,按房产原值计税,按票据"</formula1>
    </dataValidation>
    <dataValidation type="list" allowBlank="1" showInputMessage="1" showErrorMessage="1" sqref="K19" xr:uid="{0C1B25F4-FA95-4FCD-A0A7-224E9DAC474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22890</v>
      </c>
      <c r="C2" s="1729" t="s">
        <v>1651</v>
      </c>
      <c r="D2" s="1730" t="s">
        <v>1652</v>
      </c>
      <c r="E2" s="2393">
        <f>SUM(E6:E13)</f>
        <v>9035.91</v>
      </c>
      <c r="F2" s="2480"/>
      <c r="G2" s="459"/>
      <c r="H2" s="459"/>
      <c r="I2" s="459"/>
      <c r="J2" s="459"/>
      <c r="K2" s="459"/>
      <c r="L2" s="459"/>
      <c r="M2" s="459"/>
      <c r="N2" s="459"/>
      <c r="O2" s="459"/>
      <c r="P2" s="459"/>
      <c r="Q2" s="459"/>
      <c r="R2" s="459"/>
      <c r="S2" s="459"/>
    </row>
    <row r="3" spans="1:22" ht="15.75">
      <c r="A3" s="1728" t="s">
        <v>686</v>
      </c>
      <c r="B3" s="2387">
        <f ca="1">ROUND(B2*10000/E2,0)</f>
        <v>25332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3" t="s">
        <v>1654</v>
      </c>
      <c r="C5" s="3374"/>
      <c r="D5" s="2481"/>
      <c r="E5" s="1731" t="s">
        <v>1655</v>
      </c>
      <c r="F5" s="129" t="s">
        <v>1656</v>
      </c>
      <c r="G5" s="459"/>
      <c r="H5" s="459"/>
      <c r="I5" s="459"/>
      <c r="J5" s="459"/>
      <c r="K5" s="459"/>
      <c r="L5" s="459"/>
      <c r="M5" s="459"/>
      <c r="N5" s="459"/>
      <c r="O5" s="459"/>
      <c r="P5" s="459"/>
      <c r="Q5" s="459"/>
      <c r="R5" s="459"/>
      <c r="S5" s="459"/>
    </row>
    <row r="6" spans="1:22">
      <c r="A6" s="2390" t="str">
        <f>'数据-取费表'!AN6</f>
        <v>收益法办公</v>
      </c>
      <c r="B6" s="2388">
        <f ca="1">IF(F6="是",'数据-取费表'!AO6,0)</f>
        <v>18405</v>
      </c>
      <c r="C6" s="1729" t="s">
        <v>1651</v>
      </c>
      <c r="D6" s="2480"/>
      <c r="E6" s="2392">
        <f>IF(OR(A6=0,F6="否"),0,'数据-取费表'!K6+'数据-取费表'!S6)</f>
        <v>7529.9250000000002</v>
      </c>
      <c r="F6" s="1732" t="s">
        <v>1657</v>
      </c>
      <c r="G6" s="459"/>
      <c r="H6" s="459"/>
      <c r="I6" s="459"/>
      <c r="J6" s="459"/>
      <c r="K6" s="459"/>
      <c r="L6" s="459"/>
      <c r="M6" s="459"/>
      <c r="N6" s="459"/>
      <c r="O6" s="459"/>
      <c r="P6" s="459"/>
      <c r="Q6" s="459"/>
      <c r="R6" s="459"/>
      <c r="S6" s="459"/>
    </row>
    <row r="7" spans="1:22">
      <c r="A7" s="2390" t="str">
        <f>'数据-取费表'!AN7</f>
        <v>收益法</v>
      </c>
      <c r="B7" s="2388">
        <f ca="1">IF(F7="是",'数据-取费表'!AO7,0)</f>
        <v>4485</v>
      </c>
      <c r="C7" s="1729" t="s">
        <v>1651</v>
      </c>
      <c r="D7" s="2480"/>
      <c r="E7" s="2392">
        <f>IF(OR(A7=0,F7="否"),0,'数据-取费表'!K7+'数据-取费表'!S7)</f>
        <v>1505.9849999999999</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估价对象为北京市房地产，为所有。根据《国有土地使用证》[]，估价对象（分摊）出让国有建设用地使用权面积为0平方米，建筑面积为9035.91平方米。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估价对象为北京市房地产,属开发建设的，该项目尚在开发建设中。根据《国有土地使用证》[]，估价对象（分摊）出让国有建设用地使用权面积为0平方米，规划建筑面积为9035.91平方米。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2024年9月18日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9035.91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7"/>
      <c r="M4" s="2488"/>
      <c r="N4" s="2488"/>
      <c r="O4" s="2488"/>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ht="15">
      <c r="A5" s="348"/>
      <c r="B5" s="349"/>
      <c r="C5" s="3411" t="s">
        <v>1673</v>
      </c>
      <c r="D5" s="3412"/>
      <c r="E5" s="3418" t="s">
        <v>1674</v>
      </c>
      <c r="F5" s="3419"/>
      <c r="G5" s="3411" t="s">
        <v>1675</v>
      </c>
      <c r="H5" s="3412"/>
      <c r="I5" s="3411" t="s">
        <v>1676</v>
      </c>
      <c r="J5" s="3412"/>
      <c r="K5" s="1745"/>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1745"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45553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9"/>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8"/>
      <c r="Q16" s="1263"/>
      <c r="R16" s="667"/>
      <c r="S16" s="668"/>
      <c r="T16" s="667"/>
      <c r="U16" s="668"/>
      <c r="V16" s="667"/>
      <c r="W16" s="668"/>
      <c r="X16" s="1265"/>
      <c r="Y16" s="338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8"/>
      <c r="Q22" s="1263"/>
      <c r="R22" s="667"/>
      <c r="S22" s="668"/>
      <c r="T22" s="667"/>
      <c r="U22" s="668"/>
      <c r="V22" s="667"/>
      <c r="W22" s="668"/>
      <c r="X22" s="1265"/>
      <c r="Y22" s="338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9035.91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79"/>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79"/>
      <c r="AC6" s="3392"/>
    </row>
    <row r="7" spans="1:29" s="102" customFormat="1" ht="15.75" thickBot="1">
      <c r="A7" s="352" t="s">
        <v>1679</v>
      </c>
      <c r="B7" s="353"/>
      <c r="C7" s="354">
        <f>'数据-取费表'!B2</f>
        <v>45553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8"/>
      <c r="Q22" s="1263"/>
      <c r="R22" s="667"/>
      <c r="S22" s="668"/>
      <c r="T22" s="667"/>
      <c r="U22" s="668"/>
      <c r="V22" s="667"/>
      <c r="W22" s="668"/>
      <c r="X22" s="1265"/>
      <c r="Y22" s="338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9035.91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ht="15">
      <c r="A5" s="348"/>
      <c r="B5" s="349"/>
      <c r="C5" s="3411" t="s">
        <v>1673</v>
      </c>
      <c r="D5" s="3412"/>
      <c r="E5" s="3418" t="s">
        <v>1674</v>
      </c>
      <c r="F5" s="3419"/>
      <c r="G5" s="3411" t="s">
        <v>1675</v>
      </c>
      <c r="H5" s="3412"/>
      <c r="I5" s="3411" t="s">
        <v>1676</v>
      </c>
      <c r="J5" s="3412"/>
      <c r="K5" s="537"/>
      <c r="L5" s="2487"/>
      <c r="M5" s="2488"/>
      <c r="N5" s="2488"/>
      <c r="O5" s="2488"/>
      <c r="P5" s="3428"/>
      <c r="Q5" s="3400"/>
      <c r="R5" s="3405"/>
      <c r="S5" s="3406"/>
      <c r="T5" s="3405"/>
      <c r="U5" s="3406"/>
      <c r="V5" s="3379"/>
      <c r="W5" s="3379"/>
      <c r="X5" s="1265"/>
      <c r="Y5" s="3405"/>
      <c r="Z5" s="3406"/>
      <c r="AA5" s="3391"/>
      <c r="AB5" s="3391"/>
      <c r="AC5" s="3424"/>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29"/>
      <c r="Q6" s="3402"/>
      <c r="R6" s="3405"/>
      <c r="S6" s="3406"/>
      <c r="T6" s="3407"/>
      <c r="U6" s="3408"/>
      <c r="V6" s="3379"/>
      <c r="W6" s="3379"/>
      <c r="X6" s="1265"/>
      <c r="Y6" s="3407"/>
      <c r="Z6" s="3408"/>
      <c r="AA6" s="3392"/>
      <c r="AB6" s="3392"/>
      <c r="AC6" s="3425"/>
    </row>
    <row r="7" spans="1:29" s="102" customFormat="1" ht="15.75" thickBot="1">
      <c r="A7" s="352" t="s">
        <v>1679</v>
      </c>
      <c r="B7" s="353"/>
      <c r="C7" s="354">
        <f>'数据-取费表'!B2</f>
        <v>45553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8"/>
      <c r="Q22" s="1263"/>
      <c r="R22" s="667"/>
      <c r="S22" s="668"/>
      <c r="T22" s="667"/>
      <c r="U22" s="668"/>
      <c r="V22" s="667"/>
      <c r="W22" s="668"/>
      <c r="X22" s="1265"/>
      <c r="Y22" s="338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8"/>
      <c r="Q26" s="1263"/>
      <c r="R26" s="667"/>
      <c r="S26" s="668"/>
      <c r="T26" s="667"/>
      <c r="U26" s="668"/>
      <c r="V26" s="667"/>
      <c r="W26" s="668"/>
      <c r="X26" s="1265"/>
      <c r="Y26" s="33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9035.91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45553</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45553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1"/>
      <c r="Q15" s="1263"/>
      <c r="R15" s="667"/>
      <c r="S15" s="668"/>
      <c r="T15" s="667"/>
      <c r="U15" s="668"/>
      <c r="V15" s="667"/>
      <c r="W15" s="668"/>
      <c r="X15" s="1265"/>
      <c r="Y15" s="338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1"/>
      <c r="Q17" s="1263"/>
      <c r="R17" s="667"/>
      <c r="S17" s="668"/>
      <c r="T17" s="667"/>
      <c r="U17" s="668"/>
      <c r="V17" s="667"/>
      <c r="W17" s="668"/>
      <c r="X17" s="1265"/>
      <c r="Y17" s="338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1"/>
      <c r="Q19" s="1263"/>
      <c r="R19" s="667"/>
      <c r="S19" s="668"/>
      <c r="T19" s="667"/>
      <c r="U19" s="668"/>
      <c r="V19" s="667"/>
      <c r="W19" s="668"/>
      <c r="X19" s="1265"/>
      <c r="Y19" s="338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5"/>
      <c r="M37" s="2488"/>
      <c r="N37" s="2488"/>
      <c r="O37" s="2488"/>
      <c r="P37" s="3378" t="str">
        <f>A37</f>
        <v>成交单价</v>
      </c>
      <c r="Q37" s="3378"/>
      <c r="R37" s="3379">
        <f>E37</f>
        <v>0</v>
      </c>
      <c r="S37" s="3379"/>
      <c r="T37" s="3379">
        <f>G37</f>
        <v>0</v>
      </c>
      <c r="U37" s="3379"/>
      <c r="V37" s="3379">
        <f>I37</f>
        <v>0</v>
      </c>
      <c r="W37" s="33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45553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1"/>
      <c r="Q15" s="1263"/>
      <c r="R15" s="667"/>
      <c r="S15" s="668"/>
      <c r="T15" s="667"/>
      <c r="U15" s="668"/>
      <c r="V15" s="667"/>
      <c r="W15" s="668"/>
      <c r="X15" s="1265"/>
      <c r="Y15" s="338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1"/>
      <c r="Q17" s="1263"/>
      <c r="R17" s="667"/>
      <c r="S17" s="668"/>
      <c r="T17" s="667"/>
      <c r="U17" s="668"/>
      <c r="V17" s="667"/>
      <c r="W17" s="668"/>
      <c r="X17" s="1265"/>
      <c r="Y17" s="338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1"/>
      <c r="Q19" s="1263"/>
      <c r="R19" s="667"/>
      <c r="S19" s="668"/>
      <c r="T19" s="667"/>
      <c r="U19" s="668"/>
      <c r="V19" s="667"/>
      <c r="W19" s="668"/>
      <c r="X19" s="1265"/>
      <c r="Y19" s="338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H44" sqref="H4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45553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90"/>
      <c r="M10" s="2491"/>
      <c r="N10" s="2491"/>
      <c r="O10" s="2542"/>
      <c r="P10" s="3378"/>
      <c r="Q10" s="530" t="str">
        <f t="shared" si="6"/>
        <v>土地使用年限（年）</v>
      </c>
      <c r="R10" s="664" t="s">
        <v>14</v>
      </c>
      <c r="S10" s="665">
        <f t="shared" si="0"/>
        <v>118</v>
      </c>
      <c r="T10" s="664" t="s">
        <v>14</v>
      </c>
      <c r="U10" s="665">
        <f t="shared" si="1"/>
        <v>118</v>
      </c>
      <c r="V10" s="664" t="s">
        <v>14</v>
      </c>
      <c r="W10" s="665">
        <f t="shared" si="2"/>
        <v>118</v>
      </c>
      <c r="X10" s="666"/>
      <c r="Y10" s="323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8"/>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1"/>
      <c r="Q20" s="1263"/>
      <c r="R20" s="667"/>
      <c r="S20" s="668"/>
      <c r="T20" s="667"/>
      <c r="U20" s="668"/>
      <c r="V20" s="667"/>
      <c r="W20" s="668"/>
      <c r="X20" s="1265"/>
      <c r="Y20" s="338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1"/>
      <c r="Q24" s="1263"/>
      <c r="R24" s="667"/>
      <c r="S24" s="668"/>
      <c r="T24" s="667"/>
      <c r="U24" s="668"/>
      <c r="V24" s="667"/>
      <c r="W24" s="668"/>
      <c r="X24" s="1265"/>
      <c r="Y24" s="338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1"/>
      <c r="Q26" s="1263"/>
      <c r="R26" s="667"/>
      <c r="S26" s="668"/>
      <c r="T26" s="667"/>
      <c r="U26" s="668"/>
      <c r="V26" s="667"/>
      <c r="W26" s="668"/>
      <c r="X26" s="1265"/>
      <c r="Y26" s="338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1"/>
      <c r="Q28" s="530"/>
      <c r="R28" s="664"/>
      <c r="S28" s="665"/>
      <c r="T28" s="664"/>
      <c r="U28" s="665"/>
      <c r="V28" s="664"/>
      <c r="W28" s="665"/>
      <c r="X28" s="666"/>
      <c r="Y28" s="338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8" t="str">
        <f>A46</f>
        <v>成交单价</v>
      </c>
      <c r="Q46" s="3378"/>
      <c r="R46" s="3379">
        <f>E46</f>
        <v>0</v>
      </c>
      <c r="S46" s="3379"/>
      <c r="T46" s="3379">
        <f>G46</f>
        <v>0</v>
      </c>
      <c r="U46" s="3379"/>
      <c r="V46" s="3379">
        <f>I46</f>
        <v>0</v>
      </c>
      <c r="W46" s="33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7529.9249999999993</v>
      </c>
      <c r="F56" s="833" t="e">
        <f t="shared" ref="F56:F64" si="15">ROUND(B56*E56/10000,0)</f>
        <v>#DIV/0!</v>
      </c>
      <c r="G56" s="3389"/>
      <c r="H56" s="33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1505.9850000000006</v>
      </c>
      <c r="F60" s="833" t="e">
        <f t="shared" si="15"/>
        <v>#DIV/0!</v>
      </c>
      <c r="G60" s="1835" t="s">
        <v>1896</v>
      </c>
      <c r="H60" s="834" t="str">
        <f>项目基本情况!C37</f>
        <v>四级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9035.91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40" t="s">
        <v>1919</v>
      </c>
      <c r="D6" s="3441"/>
      <c r="E6" s="3442" t="s">
        <v>1919</v>
      </c>
      <c r="F6" s="3443"/>
      <c r="G6" s="3440" t="s">
        <v>1919</v>
      </c>
      <c r="H6" s="3441"/>
      <c r="I6" s="3440" t="s">
        <v>1919</v>
      </c>
      <c r="J6" s="3441"/>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45553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78"/>
      <c r="Q10" s="530" t="str">
        <f t="shared" si="6"/>
        <v>土地使用年限（年）</v>
      </c>
      <c r="R10" s="664" t="s">
        <v>14</v>
      </c>
      <c r="S10" s="665">
        <f t="shared" si="0"/>
        <v>118</v>
      </c>
      <c r="T10" s="664" t="s">
        <v>14</v>
      </c>
      <c r="U10" s="665">
        <f t="shared" si="1"/>
        <v>118</v>
      </c>
      <c r="V10" s="664" t="s">
        <v>14</v>
      </c>
      <c r="W10" s="665">
        <f t="shared" si="2"/>
        <v>118</v>
      </c>
      <c r="X10" s="666"/>
      <c r="Y10" s="323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1"/>
      <c r="Q20" s="1263"/>
      <c r="R20" s="667"/>
      <c r="S20" s="668"/>
      <c r="T20" s="667"/>
      <c r="U20" s="668"/>
      <c r="V20" s="667"/>
      <c r="W20" s="668"/>
      <c r="X20" s="1265"/>
      <c r="Y20" s="338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1"/>
      <c r="Q24" s="530"/>
      <c r="R24" s="664"/>
      <c r="S24" s="665"/>
      <c r="T24" s="664"/>
      <c r="U24" s="665"/>
      <c r="V24" s="664"/>
      <c r="W24" s="665"/>
      <c r="X24" s="666"/>
      <c r="Y24" s="338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8" t="str">
        <f>A41</f>
        <v>成交单价</v>
      </c>
      <c r="Q41" s="3378"/>
      <c r="R41" s="3379">
        <f>E41</f>
        <v>0</v>
      </c>
      <c r="S41" s="3379"/>
      <c r="T41" s="3379">
        <f>G41</f>
        <v>0</v>
      </c>
      <c r="U41" s="3379"/>
      <c r="V41" s="3379">
        <f>I41</f>
        <v>0</v>
      </c>
      <c r="W41" s="33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7529.9249999999993</v>
      </c>
      <c r="F51" s="611" t="e">
        <f t="shared" ref="F51:F60" si="15">ROUND(B51*E51/10000,0)</f>
        <v>#DIV/0!</v>
      </c>
      <c r="G51" s="3389"/>
      <c r="H51" s="33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1505.9850000000006</v>
      </c>
      <c r="F56" s="611" t="e">
        <f t="shared" si="15"/>
        <v>#DIV/0!</v>
      </c>
      <c r="G56" s="1835" t="s">
        <v>1896</v>
      </c>
      <c r="H56" s="834" t="str">
        <f>项目基本情况!C37</f>
        <v>四级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8834</v>
      </c>
      <c r="C2" s="1984" t="s">
        <v>2074</v>
      </c>
      <c r="D2" s="1984" t="s">
        <v>2075</v>
      </c>
      <c r="E2" s="2398">
        <f ca="1">SUMIF(E6:E13,"&lt;&gt;#ref!",E6:E13)</f>
        <v>7529.9250000000002</v>
      </c>
      <c r="F2" s="2545"/>
      <c r="G2" s="2545"/>
      <c r="H2" s="2545"/>
      <c r="I2" s="2545"/>
      <c r="J2" s="2545"/>
      <c r="K2" s="2545"/>
      <c r="L2" s="2545"/>
      <c r="M2" s="2545"/>
      <c r="N2" s="2545"/>
      <c r="O2" s="2545"/>
      <c r="P2" s="2545"/>
    </row>
    <row r="3" spans="1:16" ht="15.75">
      <c r="A3" s="1984" t="s">
        <v>2076</v>
      </c>
      <c r="B3" s="2388">
        <f ca="1">ROUND(B2*10000/E2,0)</f>
        <v>11732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8834</v>
      </c>
      <c r="C6" s="1984" t="s">
        <v>2074</v>
      </c>
      <c r="D6" s="2545"/>
      <c r="E6" s="2398">
        <f ca="1">SUMIF(INDIRECT("'"&amp;A6&amp;"'"&amp;"!C:C"),"建筑面积",INDIRECT("'"&amp;A6&amp;"'"&amp;"!D:D"))</f>
        <v>7529.9250000000002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21945</v>
      </c>
    </row>
    <row r="6" spans="1:5" ht="15.75">
      <c r="B6" s="3147"/>
      <c r="C6" s="1392" t="s">
        <v>911</v>
      </c>
      <c r="D6" s="797" t="str">
        <f ca="1">NUMBERSTRING(INT(D5*10000),2)&amp;"元整"</f>
        <v>贰亿壹仟玖佰肆拾伍万元整</v>
      </c>
    </row>
    <row r="7" spans="1:5" ht="15.75">
      <c r="B7" s="3152"/>
      <c r="C7" s="1393" t="s">
        <v>912</v>
      </c>
      <c r="D7" s="798" t="e">
        <f ca="1">结果表!H102</f>
        <v>#DIV/0!</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21945</v>
      </c>
    </row>
    <row r="14" spans="1:5" ht="15.75">
      <c r="B14" s="3147"/>
      <c r="C14" s="1392" t="s">
        <v>911</v>
      </c>
      <c r="D14" s="797" t="str">
        <f ca="1">NUMBERSTRING(INT(D13*10000),2)&amp;"元整"</f>
        <v>贰亿壹仟玖佰肆拾伍万元整</v>
      </c>
    </row>
    <row r="15" spans="1:5" ht="15">
      <c r="B15" s="3152"/>
      <c r="C15" s="1393" t="s">
        <v>921</v>
      </c>
      <c r="D15" s="806" t="e">
        <f ca="1">结果表!H108</f>
        <v>#DIV/0!</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59" t="s">
        <v>2609</v>
      </c>
      <c r="B20" s="3454" t="s">
        <v>2630</v>
      </c>
      <c r="C20" s="2843" t="s">
        <v>2441</v>
      </c>
      <c r="D20" s="2844"/>
      <c r="E20" s="2845">
        <v>1</v>
      </c>
      <c r="F20" s="2846" t="s">
        <v>2442</v>
      </c>
      <c r="G20" s="2846"/>
    </row>
    <row r="21" spans="1:13" ht="19.5" customHeight="1">
      <c r="A21" s="3460"/>
      <c r="B21" s="3453"/>
      <c r="C21" s="2847" t="s">
        <v>2443</v>
      </c>
      <c r="D21" s="2848"/>
      <c r="E21" s="2849">
        <v>1</v>
      </c>
      <c r="F21" s="2846" t="s">
        <v>2444</v>
      </c>
      <c r="G21" s="2846"/>
    </row>
    <row r="22" spans="1:13" ht="19.5" customHeight="1">
      <c r="A22" s="3460"/>
      <c r="B22" s="3453"/>
      <c r="C22" s="2847" t="s">
        <v>2445</v>
      </c>
      <c r="D22" s="2848"/>
      <c r="E22" s="2849">
        <v>0.9</v>
      </c>
      <c r="F22" s="2846" t="s">
        <v>2446</v>
      </c>
      <c r="G22" s="2846"/>
    </row>
    <row r="23" spans="1:13" ht="19.5" customHeight="1">
      <c r="A23" s="3460"/>
      <c r="B23" s="3453"/>
      <c r="C23" s="2847" t="s">
        <v>2447</v>
      </c>
      <c r="D23" s="2848"/>
      <c r="E23" s="2849">
        <v>0.9</v>
      </c>
      <c r="F23" s="2846" t="s">
        <v>2448</v>
      </c>
      <c r="G23" s="2846"/>
    </row>
    <row r="24" spans="1:13" ht="19.5" customHeight="1">
      <c r="A24" s="3460"/>
      <c r="B24" s="3453"/>
      <c r="C24" s="2847" t="s">
        <v>2449</v>
      </c>
      <c r="D24" s="2848"/>
      <c r="E24" s="2849">
        <v>0.8</v>
      </c>
      <c r="F24" s="2846" t="s">
        <v>2450</v>
      </c>
      <c r="G24" s="2846"/>
    </row>
    <row r="25" spans="1:13" ht="19.5" customHeight="1" thickBot="1">
      <c r="A25" s="3461"/>
      <c r="B25" s="3455"/>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6" t="s">
        <v>2633</v>
      </c>
      <c r="B27" s="3454" t="s">
        <v>2614</v>
      </c>
      <c r="C27" s="2843" t="s">
        <v>2454</v>
      </c>
      <c r="D27" s="2844"/>
      <c r="E27" s="2845">
        <v>1</v>
      </c>
      <c r="F27" s="2846" t="s">
        <v>2455</v>
      </c>
      <c r="G27" s="2846"/>
    </row>
    <row r="28" spans="1:13" ht="19.5" customHeight="1">
      <c r="A28" s="3457"/>
      <c r="B28" s="3453"/>
      <c r="C28" s="2847" t="s">
        <v>2456</v>
      </c>
      <c r="D28" s="2848"/>
      <c r="E28" s="2849">
        <v>1</v>
      </c>
      <c r="F28" s="2846" t="s">
        <v>2457</v>
      </c>
      <c r="G28" s="2846"/>
    </row>
    <row r="29" spans="1:13" ht="19.5" customHeight="1">
      <c r="A29" s="3457"/>
      <c r="B29" s="3453"/>
      <c r="C29" s="2847" t="s">
        <v>2458</v>
      </c>
      <c r="D29" s="2848"/>
      <c r="E29" s="2849">
        <v>0.8</v>
      </c>
      <c r="F29" s="2846" t="s">
        <v>2459</v>
      </c>
      <c r="G29" s="2846"/>
    </row>
    <row r="30" spans="1:13" ht="19.5" customHeight="1">
      <c r="A30" s="3457"/>
      <c r="B30" s="3453"/>
      <c r="C30" s="2847" t="s">
        <v>2460</v>
      </c>
      <c r="D30" s="2848"/>
      <c r="E30" s="2849">
        <v>0.8</v>
      </c>
      <c r="F30" s="2846" t="s">
        <v>2461</v>
      </c>
      <c r="G30" s="2846"/>
    </row>
    <row r="31" spans="1:13" ht="19.5" customHeight="1">
      <c r="A31" s="3457"/>
      <c r="B31" s="3453"/>
      <c r="C31" s="2847" t="s">
        <v>2462</v>
      </c>
      <c r="D31" s="2848"/>
      <c r="E31" s="2849">
        <v>0.8</v>
      </c>
      <c r="F31" s="2846" t="s">
        <v>2463</v>
      </c>
      <c r="G31" s="2846"/>
    </row>
    <row r="32" spans="1:13" ht="19.5" customHeight="1">
      <c r="A32" s="3457"/>
      <c r="B32" s="3453"/>
      <c r="C32" s="2847" t="s">
        <v>2464</v>
      </c>
      <c r="D32" s="2848"/>
      <c r="E32" s="2849">
        <v>0.7</v>
      </c>
      <c r="F32" s="2846" t="s">
        <v>2465</v>
      </c>
      <c r="G32" s="2846"/>
    </row>
    <row r="33" spans="1:7" ht="19.5" customHeight="1">
      <c r="A33" s="3457"/>
      <c r="B33" s="3453"/>
      <c r="C33" s="2847" t="s">
        <v>2466</v>
      </c>
      <c r="D33" s="2848"/>
      <c r="E33" s="2849">
        <v>0.8</v>
      </c>
      <c r="F33" s="2846" t="s">
        <v>2467</v>
      </c>
      <c r="G33" s="2846"/>
    </row>
    <row r="34" spans="1:7" ht="19.5" customHeight="1">
      <c r="A34" s="3457"/>
      <c r="B34" s="3453"/>
      <c r="C34" s="2847" t="s">
        <v>2468</v>
      </c>
      <c r="D34" s="2848"/>
      <c r="E34" s="2849">
        <v>0.6</v>
      </c>
      <c r="F34" s="2846" t="s">
        <v>2469</v>
      </c>
      <c r="G34" s="2846"/>
    </row>
    <row r="35" spans="1:7" ht="19.5" customHeight="1">
      <c r="A35" s="3457"/>
      <c r="B35" s="3453"/>
      <c r="C35" s="2847" t="s">
        <v>2470</v>
      </c>
      <c r="D35" s="2848"/>
      <c r="E35" s="2849">
        <v>0.2</v>
      </c>
      <c r="F35" s="2846" t="s">
        <v>2471</v>
      </c>
      <c r="G35" s="2846"/>
    </row>
    <row r="36" spans="1:7" ht="19.5" customHeight="1">
      <c r="A36" s="3457"/>
      <c r="B36" s="3453"/>
      <c r="C36" s="2847" t="s">
        <v>2472</v>
      </c>
      <c r="D36" s="2848"/>
      <c r="E36" s="2849">
        <v>0.2</v>
      </c>
      <c r="F36" s="2846" t="s">
        <v>2473</v>
      </c>
      <c r="G36" s="2846"/>
    </row>
    <row r="37" spans="1:7" ht="19.5" customHeight="1">
      <c r="A37" s="3457"/>
      <c r="B37" s="3451" t="s">
        <v>2634</v>
      </c>
      <c r="C37" s="2847" t="s">
        <v>2474</v>
      </c>
      <c r="D37" s="2848"/>
      <c r="E37" s="2849">
        <v>0.6</v>
      </c>
      <c r="F37" s="2846" t="s">
        <v>2475</v>
      </c>
      <c r="G37" s="2846"/>
    </row>
    <row r="38" spans="1:7" ht="19.5" customHeight="1">
      <c r="A38" s="3457"/>
      <c r="B38" s="3453"/>
      <c r="C38" s="2847" t="s">
        <v>2476</v>
      </c>
      <c r="D38" s="2848"/>
      <c r="E38" s="2849">
        <v>0.6</v>
      </c>
      <c r="F38" s="2846" t="s">
        <v>2477</v>
      </c>
      <c r="G38" s="2846"/>
    </row>
    <row r="39" spans="1:7" ht="19.5" customHeight="1" thickBot="1">
      <c r="A39" s="3458"/>
      <c r="B39" s="3455"/>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59" t="s">
        <v>2612</v>
      </c>
      <c r="B41" s="3454" t="s">
        <v>2636</v>
      </c>
      <c r="C41" s="2843" t="s">
        <v>2481</v>
      </c>
      <c r="D41" s="2844"/>
      <c r="E41" s="2845">
        <v>1</v>
      </c>
      <c r="F41" s="2846" t="s">
        <v>2482</v>
      </c>
      <c r="G41" s="2846"/>
    </row>
    <row r="42" spans="1:7" ht="19.5" customHeight="1">
      <c r="A42" s="3460"/>
      <c r="B42" s="3453"/>
      <c r="C42" s="2847" t="s">
        <v>2483</v>
      </c>
      <c r="D42" s="2848"/>
      <c r="E42" s="2849">
        <v>1</v>
      </c>
      <c r="F42" s="2846" t="s">
        <v>2484</v>
      </c>
      <c r="G42" s="2846"/>
    </row>
    <row r="43" spans="1:7" ht="19.5" customHeight="1">
      <c r="A43" s="3460"/>
      <c r="B43" s="3452"/>
      <c r="C43" s="2847" t="s">
        <v>2485</v>
      </c>
      <c r="D43" s="2848"/>
      <c r="E43" s="2849">
        <v>1.5</v>
      </c>
      <c r="F43" s="2846" t="s">
        <v>2486</v>
      </c>
      <c r="G43" s="2846"/>
    </row>
    <row r="44" spans="1:7" ht="19.5" customHeight="1">
      <c r="A44" s="3460"/>
      <c r="B44" s="2858" t="s">
        <v>2637</v>
      </c>
      <c r="C44" s="2847" t="s">
        <v>2638</v>
      </c>
      <c r="D44" s="2848"/>
      <c r="E44" s="2849">
        <v>2</v>
      </c>
      <c r="F44" s="2846" t="s">
        <v>2487</v>
      </c>
      <c r="G44" s="2846"/>
    </row>
    <row r="45" spans="1:7" ht="19.5" customHeight="1">
      <c r="A45" s="3460"/>
      <c r="B45" s="3451" t="s">
        <v>2639</v>
      </c>
      <c r="C45" s="2847" t="s">
        <v>2488</v>
      </c>
      <c r="D45" s="2848"/>
      <c r="E45" s="2849">
        <v>1</v>
      </c>
      <c r="F45" s="2846" t="s">
        <v>2489</v>
      </c>
      <c r="G45" s="2846"/>
    </row>
    <row r="46" spans="1:7" ht="19.5" customHeight="1">
      <c r="A46" s="3460"/>
      <c r="B46" s="3453"/>
      <c r="C46" s="2847" t="s">
        <v>2490</v>
      </c>
      <c r="D46" s="2848"/>
      <c r="E46" s="2849">
        <v>1</v>
      </c>
      <c r="F46" s="2846" t="s">
        <v>2491</v>
      </c>
      <c r="G46" s="2846"/>
    </row>
    <row r="47" spans="1:7" ht="19.5" customHeight="1">
      <c r="A47" s="3460"/>
      <c r="B47" s="3453"/>
      <c r="C47" s="2847" t="s">
        <v>2492</v>
      </c>
      <c r="D47" s="2848"/>
      <c r="E47" s="2849">
        <v>1</v>
      </c>
      <c r="F47" s="2846" t="s">
        <v>2493</v>
      </c>
      <c r="G47" s="2846"/>
    </row>
    <row r="48" spans="1:7" ht="19.5" customHeight="1">
      <c r="A48" s="3460"/>
      <c r="B48" s="3453"/>
      <c r="C48" s="2847" t="s">
        <v>2494</v>
      </c>
      <c r="D48" s="2848"/>
      <c r="E48" s="2849">
        <v>1</v>
      </c>
      <c r="F48" s="2846" t="s">
        <v>2495</v>
      </c>
      <c r="G48" s="2846"/>
    </row>
    <row r="49" spans="1:7" ht="19.5" customHeight="1">
      <c r="A49" s="3460"/>
      <c r="B49" s="3453"/>
      <c r="C49" s="2847" t="s">
        <v>2496</v>
      </c>
      <c r="D49" s="2848"/>
      <c r="E49" s="2849">
        <v>1</v>
      </c>
      <c r="F49" s="2846" t="s">
        <v>2497</v>
      </c>
      <c r="G49" s="2846"/>
    </row>
    <row r="50" spans="1:7" ht="19.5" customHeight="1">
      <c r="A50" s="3460"/>
      <c r="B50" s="3453"/>
      <c r="C50" s="2847" t="s">
        <v>2498</v>
      </c>
      <c r="D50" s="2848"/>
      <c r="E50" s="2849">
        <v>1</v>
      </c>
      <c r="F50" s="2846" t="s">
        <v>2499</v>
      </c>
      <c r="G50" s="2846"/>
    </row>
    <row r="51" spans="1:7" ht="19.5" customHeight="1" thickBot="1">
      <c r="A51" s="3461"/>
      <c r="B51" s="3455"/>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51" t="s">
        <v>2653</v>
      </c>
      <c r="C73" s="2832" t="s">
        <v>2654</v>
      </c>
      <c r="D73" s="2832" t="s">
        <v>2655</v>
      </c>
      <c r="E73" s="2858">
        <v>0.2</v>
      </c>
      <c r="F73" s="2858">
        <v>25</v>
      </c>
    </row>
    <row r="74" spans="1:7" ht="24">
      <c r="A74" s="2858">
        <v>2</v>
      </c>
      <c r="B74" s="3453"/>
      <c r="C74" s="2832" t="s">
        <v>2656</v>
      </c>
      <c r="D74" s="2832" t="s">
        <v>2657</v>
      </c>
      <c r="E74" s="2858">
        <v>0.2</v>
      </c>
      <c r="F74" s="2858">
        <v>25</v>
      </c>
    </row>
    <row r="75" spans="1:7" ht="24">
      <c r="A75" s="2858">
        <v>3</v>
      </c>
      <c r="B75" s="3453"/>
      <c r="C75" s="2832" t="s">
        <v>2658</v>
      </c>
      <c r="D75" s="2832" t="s">
        <v>2659</v>
      </c>
      <c r="E75" s="2858">
        <v>0.2</v>
      </c>
      <c r="F75" s="2858">
        <v>25</v>
      </c>
    </row>
    <row r="76" spans="1:7" ht="13.5">
      <c r="A76" s="2858">
        <v>4</v>
      </c>
      <c r="B76" s="3453"/>
      <c r="C76" s="2832" t="s">
        <v>2660</v>
      </c>
      <c r="D76" s="2832" t="s">
        <v>2661</v>
      </c>
      <c r="E76" s="2858">
        <v>0.15</v>
      </c>
      <c r="F76" s="2858">
        <v>20</v>
      </c>
    </row>
    <row r="77" spans="1:7" ht="24">
      <c r="A77" s="2858">
        <v>5</v>
      </c>
      <c r="B77" s="3453"/>
      <c r="C77" s="2832" t="s">
        <v>2662</v>
      </c>
      <c r="D77" s="2832" t="s">
        <v>2663</v>
      </c>
      <c r="E77" s="2858">
        <v>0.15</v>
      </c>
      <c r="F77" s="2858">
        <v>20</v>
      </c>
    </row>
    <row r="78" spans="1:7" ht="24">
      <c r="A78" s="2858">
        <v>6</v>
      </c>
      <c r="B78" s="3453"/>
      <c r="C78" s="2832" t="s">
        <v>2664</v>
      </c>
      <c r="D78" s="2832" t="s">
        <v>2665</v>
      </c>
      <c r="E78" s="2858">
        <v>0.15</v>
      </c>
      <c r="F78" s="2858">
        <v>20</v>
      </c>
    </row>
    <row r="79" spans="1:7" ht="24">
      <c r="A79" s="2858">
        <v>7</v>
      </c>
      <c r="B79" s="3453"/>
      <c r="C79" s="2832" t="s">
        <v>2666</v>
      </c>
      <c r="D79" s="2832" t="s">
        <v>2667</v>
      </c>
      <c r="E79" s="2858">
        <v>0.15</v>
      </c>
      <c r="F79" s="2858">
        <v>20</v>
      </c>
    </row>
    <row r="80" spans="1:7" ht="24">
      <c r="A80" s="2858">
        <v>8</v>
      </c>
      <c r="B80" s="3453"/>
      <c r="C80" s="2832" t="s">
        <v>2668</v>
      </c>
      <c r="D80" s="2832" t="s">
        <v>2669</v>
      </c>
      <c r="E80" s="2858">
        <v>0.1</v>
      </c>
      <c r="F80" s="2858">
        <v>15</v>
      </c>
    </row>
    <row r="81" spans="1:6" ht="24">
      <c r="A81" s="2858">
        <v>9</v>
      </c>
      <c r="B81" s="3453"/>
      <c r="C81" s="2832" t="s">
        <v>2670</v>
      </c>
      <c r="D81" s="2832" t="s">
        <v>2671</v>
      </c>
      <c r="E81" s="2858">
        <v>0.1</v>
      </c>
      <c r="F81" s="2858">
        <v>15</v>
      </c>
    </row>
    <row r="82" spans="1:6" ht="24">
      <c r="A82" s="2858">
        <v>10</v>
      </c>
      <c r="B82" s="3453"/>
      <c r="C82" s="2832" t="s">
        <v>2672</v>
      </c>
      <c r="D82" s="2832" t="s">
        <v>2673</v>
      </c>
      <c r="E82" s="2858">
        <v>0.1</v>
      </c>
      <c r="F82" s="2858">
        <v>15</v>
      </c>
    </row>
    <row r="83" spans="1:6" ht="24">
      <c r="A83" s="2858">
        <v>11</v>
      </c>
      <c r="B83" s="3453"/>
      <c r="C83" s="2832" t="s">
        <v>2674</v>
      </c>
      <c r="D83" s="2832" t="s">
        <v>2675</v>
      </c>
      <c r="E83" s="2858">
        <v>0.1</v>
      </c>
      <c r="F83" s="2858">
        <v>15</v>
      </c>
    </row>
    <row r="84" spans="1:6" ht="24">
      <c r="A84" s="2858">
        <v>12</v>
      </c>
      <c r="B84" s="3453"/>
      <c r="C84" s="2832" t="s">
        <v>2676</v>
      </c>
      <c r="D84" s="2832" t="s">
        <v>2677</v>
      </c>
      <c r="E84" s="2858">
        <v>0.1</v>
      </c>
      <c r="F84" s="2858">
        <v>15</v>
      </c>
    </row>
    <row r="85" spans="1:6" ht="13.5">
      <c r="A85" s="2858">
        <v>13</v>
      </c>
      <c r="B85" s="3453"/>
      <c r="C85" s="2832" t="s">
        <v>2678</v>
      </c>
      <c r="D85" s="2832" t="s">
        <v>2679</v>
      </c>
      <c r="E85" s="2858">
        <v>0.1</v>
      </c>
      <c r="F85" s="2858">
        <v>15</v>
      </c>
    </row>
    <row r="86" spans="1:6" ht="13.5">
      <c r="A86" s="2858">
        <v>14</v>
      </c>
      <c r="B86" s="3453"/>
      <c r="C86" s="2832" t="s">
        <v>2680</v>
      </c>
      <c r="D86" s="2832" t="s">
        <v>2681</v>
      </c>
      <c r="E86" s="2858">
        <v>0.1</v>
      </c>
      <c r="F86" s="2858">
        <v>15</v>
      </c>
    </row>
    <row r="87" spans="1:6" ht="13.5">
      <c r="A87" s="2858">
        <v>15</v>
      </c>
      <c r="B87" s="3453"/>
      <c r="C87" s="2832" t="s">
        <v>2682</v>
      </c>
      <c r="D87" s="2832" t="s">
        <v>2683</v>
      </c>
      <c r="E87" s="2858">
        <v>0.1</v>
      </c>
      <c r="F87" s="2858">
        <v>15</v>
      </c>
    </row>
    <row r="88" spans="1:6" ht="24">
      <c r="A88" s="2858">
        <v>16</v>
      </c>
      <c r="B88" s="3453"/>
      <c r="C88" s="2832" t="s">
        <v>2684</v>
      </c>
      <c r="D88" s="2832" t="s">
        <v>2685</v>
      </c>
      <c r="E88" s="2858">
        <v>0.1</v>
      </c>
      <c r="F88" s="2858">
        <v>15</v>
      </c>
    </row>
    <row r="89" spans="1:6" ht="24">
      <c r="A89" s="2858">
        <v>17</v>
      </c>
      <c r="B89" s="3452"/>
      <c r="C89" s="2832" t="s">
        <v>2686</v>
      </c>
      <c r="D89" s="2832" t="s">
        <v>2687</v>
      </c>
      <c r="E89" s="2858">
        <v>0.1</v>
      </c>
      <c r="F89" s="2858">
        <v>15</v>
      </c>
    </row>
    <row r="90" spans="1:6" ht="13.5">
      <c r="A90" s="2858">
        <v>18</v>
      </c>
      <c r="B90" s="3451" t="s">
        <v>2688</v>
      </c>
      <c r="C90" s="2832" t="s">
        <v>2689</v>
      </c>
      <c r="D90" s="2832" t="s">
        <v>2690</v>
      </c>
      <c r="E90" s="2858">
        <v>0.2</v>
      </c>
      <c r="F90" s="2858">
        <v>25</v>
      </c>
    </row>
    <row r="91" spans="1:6" ht="24">
      <c r="A91" s="2858">
        <v>19</v>
      </c>
      <c r="B91" s="3453"/>
      <c r="C91" s="2832" t="s">
        <v>2691</v>
      </c>
      <c r="D91" s="2832" t="s">
        <v>2692</v>
      </c>
      <c r="E91" s="2858">
        <v>0.2</v>
      </c>
      <c r="F91" s="2858">
        <v>25</v>
      </c>
    </row>
    <row r="92" spans="1:6" ht="13.5">
      <c r="A92" s="2858">
        <v>20</v>
      </c>
      <c r="B92" s="3453"/>
      <c r="C92" s="2832" t="s">
        <v>2693</v>
      </c>
      <c r="D92" s="2832" t="s">
        <v>2694</v>
      </c>
      <c r="E92" s="2858">
        <v>0.15</v>
      </c>
      <c r="F92" s="2858">
        <v>20</v>
      </c>
    </row>
    <row r="93" spans="1:6" ht="13.5">
      <c r="A93" s="2858">
        <v>21</v>
      </c>
      <c r="B93" s="3453"/>
      <c r="C93" s="2832" t="s">
        <v>2695</v>
      </c>
      <c r="D93" s="2832" t="s">
        <v>2696</v>
      </c>
      <c r="E93" s="2858">
        <v>0.15</v>
      </c>
      <c r="F93" s="2858">
        <v>20</v>
      </c>
    </row>
    <row r="94" spans="1:6" ht="13.5">
      <c r="A94" s="2858">
        <v>22</v>
      </c>
      <c r="B94" s="3453"/>
      <c r="C94" s="2832" t="s">
        <v>2697</v>
      </c>
      <c r="D94" s="2832" t="s">
        <v>2698</v>
      </c>
      <c r="E94" s="2858">
        <v>0.15</v>
      </c>
      <c r="F94" s="2858">
        <v>20</v>
      </c>
    </row>
    <row r="95" spans="1:6" ht="36">
      <c r="A95" s="2858">
        <v>23</v>
      </c>
      <c r="B95" s="3453"/>
      <c r="C95" s="2832" t="s">
        <v>2699</v>
      </c>
      <c r="D95" s="2832" t="s">
        <v>2700</v>
      </c>
      <c r="E95" s="2858">
        <v>0.15</v>
      </c>
      <c r="F95" s="2858">
        <v>20</v>
      </c>
    </row>
    <row r="96" spans="1:6" ht="13.5">
      <c r="A96" s="2858">
        <v>24</v>
      </c>
      <c r="B96" s="3453"/>
      <c r="C96" s="2832" t="s">
        <v>2701</v>
      </c>
      <c r="D96" s="2832" t="s">
        <v>2702</v>
      </c>
      <c r="E96" s="2858">
        <v>0.1</v>
      </c>
      <c r="F96" s="2858">
        <v>15</v>
      </c>
    </row>
    <row r="97" spans="1:6" ht="13.5">
      <c r="A97" s="2858">
        <v>25</v>
      </c>
      <c r="B97" s="3453"/>
      <c r="C97" s="2832" t="s">
        <v>2703</v>
      </c>
      <c r="D97" s="2832" t="s">
        <v>2704</v>
      </c>
      <c r="E97" s="2858">
        <v>0.1</v>
      </c>
      <c r="F97" s="2858">
        <v>15</v>
      </c>
    </row>
    <row r="98" spans="1:6" ht="24">
      <c r="A98" s="2858">
        <v>26</v>
      </c>
      <c r="B98" s="3453"/>
      <c r="C98" s="2832" t="s">
        <v>2705</v>
      </c>
      <c r="D98" s="2832" t="s">
        <v>2706</v>
      </c>
      <c r="E98" s="2858">
        <v>0.1</v>
      </c>
      <c r="F98" s="2858">
        <v>15</v>
      </c>
    </row>
    <row r="99" spans="1:6" ht="24">
      <c r="A99" s="2858">
        <v>27</v>
      </c>
      <c r="B99" s="3453"/>
      <c r="C99" s="2832" t="s">
        <v>2707</v>
      </c>
      <c r="D99" s="2832" t="s">
        <v>2708</v>
      </c>
      <c r="E99" s="2858">
        <v>0.1</v>
      </c>
      <c r="F99" s="2858">
        <v>15</v>
      </c>
    </row>
    <row r="100" spans="1:6" ht="13.5">
      <c r="A100" s="2858">
        <v>28</v>
      </c>
      <c r="B100" s="3453"/>
      <c r="C100" s="2832" t="s">
        <v>2709</v>
      </c>
      <c r="D100" s="2832" t="s">
        <v>2710</v>
      </c>
      <c r="E100" s="2858">
        <v>0.1</v>
      </c>
      <c r="F100" s="2858">
        <v>15</v>
      </c>
    </row>
    <row r="101" spans="1:6" ht="13.5">
      <c r="A101" s="2858">
        <v>29</v>
      </c>
      <c r="B101" s="3453"/>
      <c r="C101" s="2832" t="s">
        <v>2711</v>
      </c>
      <c r="D101" s="2832" t="s">
        <v>2712</v>
      </c>
      <c r="E101" s="2858">
        <v>0.1</v>
      </c>
      <c r="F101" s="2858">
        <v>15</v>
      </c>
    </row>
    <row r="102" spans="1:6" ht="13.5">
      <c r="A102" s="2858">
        <v>30</v>
      </c>
      <c r="B102" s="3453"/>
      <c r="C102" s="2832" t="s">
        <v>2713</v>
      </c>
      <c r="D102" s="2832" t="s">
        <v>2714</v>
      </c>
      <c r="E102" s="2858">
        <v>0.1</v>
      </c>
      <c r="F102" s="2858">
        <v>15</v>
      </c>
    </row>
    <row r="103" spans="1:6" ht="24">
      <c r="A103" s="2858">
        <v>31</v>
      </c>
      <c r="B103" s="3453"/>
      <c r="C103" s="2832" t="s">
        <v>2715</v>
      </c>
      <c r="D103" s="2832" t="s">
        <v>2716</v>
      </c>
      <c r="E103" s="2858">
        <v>0.1</v>
      </c>
      <c r="F103" s="2858">
        <v>15</v>
      </c>
    </row>
    <row r="104" spans="1:6" ht="24">
      <c r="A104" s="2858">
        <v>32</v>
      </c>
      <c r="B104" s="3453"/>
      <c r="C104" s="2832" t="s">
        <v>2717</v>
      </c>
      <c r="D104" s="2832" t="s">
        <v>2718</v>
      </c>
      <c r="E104" s="2858">
        <v>0.1</v>
      </c>
      <c r="F104" s="2858">
        <v>15</v>
      </c>
    </row>
    <row r="105" spans="1:6" ht="24">
      <c r="A105" s="2858">
        <v>33</v>
      </c>
      <c r="B105" s="3453"/>
      <c r="C105" s="2832" t="s">
        <v>2719</v>
      </c>
      <c r="D105" s="2832" t="s">
        <v>2720</v>
      </c>
      <c r="E105" s="2858">
        <v>0.1</v>
      </c>
      <c r="F105" s="2858">
        <v>15</v>
      </c>
    </row>
    <row r="106" spans="1:6" ht="24">
      <c r="A106" s="2858">
        <v>34</v>
      </c>
      <c r="B106" s="3452"/>
      <c r="C106" s="2832" t="s">
        <v>2721</v>
      </c>
      <c r="D106" s="2832" t="s">
        <v>2722</v>
      </c>
      <c r="E106" s="2858">
        <v>0.1</v>
      </c>
      <c r="F106" s="2858">
        <v>15</v>
      </c>
    </row>
    <row r="107" spans="1:6" ht="24">
      <c r="A107" s="2858">
        <v>35</v>
      </c>
      <c r="B107" s="3451" t="s">
        <v>2723</v>
      </c>
      <c r="C107" s="2858" t="s">
        <v>2724</v>
      </c>
      <c r="D107" s="2832" t="s">
        <v>2725</v>
      </c>
      <c r="E107" s="2858">
        <v>0.15</v>
      </c>
      <c r="F107" s="2858">
        <v>20</v>
      </c>
    </row>
    <row r="108" spans="1:6" ht="13.5">
      <c r="A108" s="2858">
        <v>36</v>
      </c>
      <c r="B108" s="3453"/>
      <c r="C108" s="2858" t="s">
        <v>2726</v>
      </c>
      <c r="D108" s="2832" t="s">
        <v>2727</v>
      </c>
      <c r="E108" s="2858">
        <v>0.15</v>
      </c>
      <c r="F108" s="2858">
        <v>20</v>
      </c>
    </row>
    <row r="109" spans="1:6" ht="13.5">
      <c r="A109" s="2858">
        <v>37</v>
      </c>
      <c r="B109" s="3453"/>
      <c r="C109" s="2858" t="s">
        <v>2728</v>
      </c>
      <c r="D109" s="2832" t="s">
        <v>2729</v>
      </c>
      <c r="E109" s="2858">
        <v>0.15</v>
      </c>
      <c r="F109" s="2858">
        <v>20</v>
      </c>
    </row>
    <row r="110" spans="1:6" ht="13.5">
      <c r="A110" s="2858">
        <v>38</v>
      </c>
      <c r="B110" s="3453"/>
      <c r="C110" s="2858" t="s">
        <v>2730</v>
      </c>
      <c r="D110" s="2832" t="s">
        <v>2731</v>
      </c>
      <c r="E110" s="2858">
        <v>0.1</v>
      </c>
      <c r="F110" s="2858">
        <v>15</v>
      </c>
    </row>
    <row r="111" spans="1:6" ht="24">
      <c r="A111" s="2858">
        <v>39</v>
      </c>
      <c r="B111" s="3453"/>
      <c r="C111" s="2858" t="s">
        <v>2732</v>
      </c>
      <c r="D111" s="2832" t="s">
        <v>2733</v>
      </c>
      <c r="E111" s="2858">
        <v>0.1</v>
      </c>
      <c r="F111" s="2858">
        <v>15</v>
      </c>
    </row>
    <row r="112" spans="1:6" ht="24">
      <c r="A112" s="2858">
        <v>40</v>
      </c>
      <c r="B112" s="3452"/>
      <c r="C112" s="2858" t="s">
        <v>2734</v>
      </c>
      <c r="D112" s="2832" t="s">
        <v>2735</v>
      </c>
      <c r="E112" s="2858">
        <v>0.1</v>
      </c>
      <c r="F112" s="2858">
        <v>15</v>
      </c>
    </row>
    <row r="113" spans="1:6" ht="13.5">
      <c r="A113" s="2858">
        <v>41</v>
      </c>
      <c r="B113" s="3450" t="s">
        <v>2736</v>
      </c>
      <c r="C113" s="2858" t="s">
        <v>2737</v>
      </c>
      <c r="D113" s="2832" t="s">
        <v>2738</v>
      </c>
      <c r="E113" s="2858">
        <v>0.1</v>
      </c>
      <c r="F113" s="2858">
        <v>15</v>
      </c>
    </row>
    <row r="114" spans="1:6" ht="13.5">
      <c r="A114" s="2858">
        <v>42</v>
      </c>
      <c r="B114" s="3450"/>
      <c r="C114" s="2858" t="s">
        <v>2739</v>
      </c>
      <c r="D114" s="2832" t="s">
        <v>2740</v>
      </c>
      <c r="E114" s="2858">
        <v>0.1</v>
      </c>
      <c r="F114" s="2858">
        <v>15</v>
      </c>
    </row>
    <row r="115" spans="1:6" ht="24">
      <c r="A115" s="2858">
        <v>43</v>
      </c>
      <c r="B115" s="3450"/>
      <c r="C115" s="2858" t="s">
        <v>2741</v>
      </c>
      <c r="D115" s="2832" t="s">
        <v>2742</v>
      </c>
      <c r="E115" s="2858">
        <v>0.1</v>
      </c>
      <c r="F115" s="2858">
        <v>15</v>
      </c>
    </row>
    <row r="116" spans="1:6" ht="13.5">
      <c r="A116" s="2858">
        <v>44</v>
      </c>
      <c r="B116" s="3451" t="s">
        <v>2743</v>
      </c>
      <c r="C116" s="2858" t="s">
        <v>2744</v>
      </c>
      <c r="D116" s="2832" t="s">
        <v>2745</v>
      </c>
      <c r="E116" s="2858">
        <v>0.1</v>
      </c>
      <c r="F116" s="2858">
        <v>15</v>
      </c>
    </row>
    <row r="117" spans="1:6" ht="24">
      <c r="A117" s="2858">
        <v>45</v>
      </c>
      <c r="B117" s="3452"/>
      <c r="C117" s="2832" t="s">
        <v>2746</v>
      </c>
      <c r="D117" s="2832" t="s">
        <v>2747</v>
      </c>
      <c r="E117" s="2858">
        <v>0.1</v>
      </c>
      <c r="F117" s="2858">
        <v>15</v>
      </c>
    </row>
    <row r="118" spans="1:6" ht="24">
      <c r="A118" s="2858">
        <v>46</v>
      </c>
      <c r="B118" s="3451" t="s">
        <v>2748</v>
      </c>
      <c r="C118" s="2858" t="s">
        <v>2749</v>
      </c>
      <c r="D118" s="2832" t="s">
        <v>2750</v>
      </c>
      <c r="E118" s="2858">
        <v>0.1</v>
      </c>
      <c r="F118" s="2858">
        <v>15</v>
      </c>
    </row>
    <row r="119" spans="1:6" ht="24">
      <c r="A119" s="2858">
        <v>47</v>
      </c>
      <c r="B119" s="3452"/>
      <c r="C119" s="2858" t="s">
        <v>2751</v>
      </c>
      <c r="D119" s="2832" t="s">
        <v>2752</v>
      </c>
      <c r="E119" s="2858">
        <v>0.1</v>
      </c>
      <c r="F119" s="2858">
        <v>15</v>
      </c>
    </row>
    <row r="120" spans="1:6" ht="13.5">
      <c r="A120" s="2858">
        <v>48</v>
      </c>
      <c r="B120" s="3451" t="s">
        <v>2753</v>
      </c>
      <c r="C120" s="2858" t="s">
        <v>2754</v>
      </c>
      <c r="D120" s="2832" t="s">
        <v>2755</v>
      </c>
      <c r="E120" s="2858">
        <v>0.1</v>
      </c>
      <c r="F120" s="2858">
        <v>15</v>
      </c>
    </row>
    <row r="121" spans="1:6" ht="13.5">
      <c r="A121" s="2858">
        <v>49</v>
      </c>
      <c r="B121" s="3452"/>
      <c r="C121" s="2858" t="s">
        <v>2756</v>
      </c>
      <c r="D121" s="2832" t="s">
        <v>2757</v>
      </c>
      <c r="E121" s="2858">
        <v>0.1</v>
      </c>
      <c r="F121" s="2858">
        <v>15</v>
      </c>
    </row>
    <row r="122" spans="1:6" ht="24">
      <c r="A122" s="2858">
        <v>50</v>
      </c>
      <c r="B122" s="3450" t="s">
        <v>2758</v>
      </c>
      <c r="C122" s="2858" t="s">
        <v>2759</v>
      </c>
      <c r="D122" s="2832" t="s">
        <v>2760</v>
      </c>
      <c r="E122" s="2858">
        <v>0.1</v>
      </c>
      <c r="F122" s="2858">
        <v>15</v>
      </c>
    </row>
    <row r="123" spans="1:6" ht="24">
      <c r="A123" s="2858">
        <v>51</v>
      </c>
      <c r="B123" s="3450"/>
      <c r="C123" s="2858" t="s">
        <v>2761</v>
      </c>
      <c r="D123" s="2832" t="s">
        <v>2762</v>
      </c>
      <c r="E123" s="2858">
        <v>0.1</v>
      </c>
      <c r="F123" s="2858">
        <v>15</v>
      </c>
    </row>
    <row r="124" spans="1:6" ht="24">
      <c r="A124" s="2858">
        <v>52</v>
      </c>
      <c r="B124" s="3450" t="s">
        <v>2763</v>
      </c>
      <c r="C124" s="2858" t="s">
        <v>2764</v>
      </c>
      <c r="D124" s="2832" t="s">
        <v>2765</v>
      </c>
      <c r="E124" s="2858">
        <v>0.1</v>
      </c>
      <c r="F124" s="2858">
        <v>15</v>
      </c>
    </row>
    <row r="125" spans="1:6" ht="24">
      <c r="A125" s="2858">
        <v>53</v>
      </c>
      <c r="B125" s="3450"/>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50" t="s">
        <v>2771</v>
      </c>
      <c r="C127" s="2858" t="s">
        <v>2772</v>
      </c>
      <c r="D127" s="2832" t="s">
        <v>2773</v>
      </c>
      <c r="E127" s="2858">
        <v>0.1</v>
      </c>
      <c r="F127" s="2858">
        <v>15</v>
      </c>
    </row>
    <row r="128" spans="1:6" ht="13.5">
      <c r="A128" s="2858">
        <v>56</v>
      </c>
      <c r="B128" s="3450"/>
      <c r="C128" s="2858" t="s">
        <v>2774</v>
      </c>
      <c r="D128" s="2832" t="s">
        <v>2775</v>
      </c>
      <c r="E128" s="2858">
        <v>0.1</v>
      </c>
      <c r="F128" s="2858">
        <v>15</v>
      </c>
    </row>
    <row r="129" spans="1:6" ht="24">
      <c r="A129" s="2858">
        <v>57</v>
      </c>
      <c r="B129" s="3450"/>
      <c r="C129" s="2858" t="s">
        <v>2776</v>
      </c>
      <c r="D129" s="2832" t="s">
        <v>2777</v>
      </c>
      <c r="E129" s="2858">
        <v>0.1</v>
      </c>
      <c r="F129" s="2858">
        <v>15</v>
      </c>
    </row>
    <row r="130" spans="1:6" ht="24">
      <c r="A130" s="2858">
        <v>58</v>
      </c>
      <c r="B130" s="3450" t="s">
        <v>2778</v>
      </c>
      <c r="C130" s="2858" t="s">
        <v>2779</v>
      </c>
      <c r="D130" s="2832" t="s">
        <v>2780</v>
      </c>
      <c r="E130" s="2858">
        <v>0.1</v>
      </c>
      <c r="F130" s="2858">
        <v>15</v>
      </c>
    </row>
    <row r="131" spans="1:6" ht="13.5">
      <c r="A131" s="2858">
        <v>59</v>
      </c>
      <c r="B131" s="3450"/>
      <c r="C131" s="2858" t="s">
        <v>2781</v>
      </c>
      <c r="D131" s="2832" t="s">
        <v>2782</v>
      </c>
      <c r="E131" s="2858">
        <v>0.1</v>
      </c>
      <c r="F131" s="2858">
        <v>15</v>
      </c>
    </row>
    <row r="132" spans="1:6" ht="13.5">
      <c r="A132" s="2858">
        <v>60</v>
      </c>
      <c r="B132" s="3451" t="s">
        <v>2783</v>
      </c>
      <c r="C132" s="2858" t="s">
        <v>2784</v>
      </c>
      <c r="D132" s="2832" t="s">
        <v>2785</v>
      </c>
      <c r="E132" s="2858">
        <v>0.1</v>
      </c>
      <c r="F132" s="2858">
        <v>15</v>
      </c>
    </row>
    <row r="133" spans="1:6" ht="13.5">
      <c r="A133" s="2858">
        <v>61</v>
      </c>
      <c r="B133" s="3452"/>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50" t="s">
        <v>2791</v>
      </c>
      <c r="C135" s="2858" t="s">
        <v>2792</v>
      </c>
      <c r="D135" s="2832" t="s">
        <v>2793</v>
      </c>
      <c r="E135" s="2858">
        <v>0.1</v>
      </c>
      <c r="F135" s="2858">
        <v>15</v>
      </c>
    </row>
    <row r="136" spans="1:6" ht="13.5">
      <c r="A136" s="2858">
        <v>64</v>
      </c>
      <c r="B136" s="3450"/>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1</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0.95120000000000005</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32552</v>
      </c>
      <c r="C2" s="2" t="s">
        <v>106</v>
      </c>
      <c r="D2" s="191"/>
      <c r="E2" s="191"/>
      <c r="F2" s="191"/>
      <c r="G2" s="191"/>
    </row>
    <row r="3" spans="1:7" s="192" customFormat="1" ht="18" customHeight="1" thickBot="1">
      <c r="A3" s="195" t="s">
        <v>58</v>
      </c>
      <c r="B3" s="196">
        <f ca="1">ROUND(B2*10000/'数据-汇总表'!E3,0)</f>
        <v>36025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181</v>
      </c>
      <c r="D10" s="795">
        <f>'数据-汇总表'!E6</f>
        <v>9035.91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v>
      </c>
      <c r="D19" s="204">
        <f>'数据-汇总表'!E3</f>
        <v>9035.91</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1063</v>
      </c>
      <c r="D22" s="227">
        <f ca="1">C26</f>
        <v>5.0000000000000001E-4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3393</v>
      </c>
      <c r="D27" s="227">
        <f>C29</f>
        <v>3.2000000000000002E-3</v>
      </c>
      <c r="E27" s="228" t="s">
        <v>99</v>
      </c>
      <c r="F27" s="238">
        <f>'数据-取费表'!Q16</f>
        <v>0.16</v>
      </c>
      <c r="G27" s="239" t="s">
        <v>431</v>
      </c>
    </row>
    <row r="28" spans="1:7" s="206" customFormat="1" ht="13.5" customHeight="1">
      <c r="A28" s="734" t="s">
        <v>349</v>
      </c>
      <c r="B28" s="240" t="s">
        <v>424</v>
      </c>
      <c r="C28" s="241">
        <f>ROUND((C5+C19+C20)*F27*'数据-取费表'!B21/'数据-取费表'!B20,0)</f>
        <v>3393</v>
      </c>
      <c r="D28" s="227"/>
      <c r="E28" s="228"/>
      <c r="F28" s="238"/>
      <c r="G28" s="239"/>
    </row>
    <row r="29" spans="1:7" s="206" customFormat="1" ht="13.5" customHeight="1">
      <c r="A29" s="734" t="s">
        <v>347</v>
      </c>
      <c r="B29" s="240" t="s">
        <v>425</v>
      </c>
      <c r="C29" s="230">
        <f>ROUND(C21*F27*'数据-取费表'!B21/'数据-取费表'!B20,4)</f>
        <v>3.2000000000000002E-3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27805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4531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4066</v>
      </c>
      <c r="D34" s="209"/>
      <c r="E34" s="212"/>
      <c r="F34" s="249">
        <f>IF('数据-取费表'!B24=0,1,'数据-取费表'!N16)</f>
        <v>1</v>
      </c>
      <c r="G34" s="211" t="s">
        <v>89</v>
      </c>
    </row>
    <row r="35" spans="1:7" ht="13.5" customHeight="1">
      <c r="A35" s="734" t="s">
        <v>351</v>
      </c>
      <c r="B35" s="207" t="s">
        <v>33</v>
      </c>
      <c r="C35" s="212">
        <f>ROUND(C34*F35,0)</f>
        <v>203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v>
      </c>
      <c r="D37" s="209">
        <f>'数据-汇总表'!E3</f>
        <v>9035.91</v>
      </c>
      <c r="E37" s="241">
        <f>'数据-取费表'!B35</f>
        <v>200</v>
      </c>
      <c r="F37" s="251"/>
      <c r="G37" s="253" t="s">
        <v>92</v>
      </c>
    </row>
    <row r="38" spans="1:7" ht="13.5" customHeight="1">
      <c r="A38" s="734" t="s">
        <v>354</v>
      </c>
      <c r="B38" s="207" t="s">
        <v>36</v>
      </c>
      <c r="C38" s="212">
        <f>ROUND(C34*F38,0)</f>
        <v>81</v>
      </c>
      <c r="D38" s="212"/>
      <c r="E38" s="212"/>
      <c r="F38" s="251">
        <f>'数据-取费表'!B36</f>
        <v>0.02</v>
      </c>
      <c r="G38" s="211" t="s">
        <v>90</v>
      </c>
    </row>
    <row r="39" spans="1:7" s="206" customFormat="1" ht="13.5" customHeight="1">
      <c r="A39" s="731" t="s">
        <v>338</v>
      </c>
      <c r="B39" s="202" t="s">
        <v>77</v>
      </c>
      <c r="C39" s="224">
        <f>ROUND(C33*F20,0)</f>
        <v>91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113</v>
      </c>
      <c r="D42" s="230"/>
      <c r="E42" s="230"/>
      <c r="F42" s="231"/>
      <c r="G42" s="3346" t="s">
        <v>94</v>
      </c>
    </row>
    <row r="43" spans="1:7" ht="13.5" customHeight="1">
      <c r="A43" s="734" t="s">
        <v>347</v>
      </c>
      <c r="B43" s="207" t="s">
        <v>426</v>
      </c>
      <c r="C43" s="230">
        <f ca="1">ROUND(IF('数据-取费表'!B22&lt;=1,C39*F22*'数据-取费表'!B21/2,C39*(POWER((1+F22),'数据-取费表'!B21/2)-1)),0)</f>
        <v>2</v>
      </c>
      <c r="D43" s="230"/>
      <c r="E43" s="230"/>
      <c r="F43" s="231"/>
      <c r="G43" s="3347"/>
    </row>
    <row r="44" spans="1:7" ht="13.5" customHeight="1">
      <c r="A44" s="734" t="s">
        <v>348</v>
      </c>
      <c r="B44" s="207" t="s">
        <v>428</v>
      </c>
      <c r="C44" s="230">
        <f ca="1">ROUND(IF('数据-取费表'!B22&lt;=1,C40*F22*'数据-取费表'!B21/2,C40*(POWER((1+F22),'数据-取费表'!B21/2)-1)),4)</f>
        <v>5.0000000000000001E-4</v>
      </c>
      <c r="D44" s="230"/>
      <c r="E44" s="230"/>
      <c r="F44" s="231"/>
      <c r="G44" s="3348"/>
    </row>
    <row r="45" spans="1:7" s="206" customFormat="1" ht="13.5" customHeight="1">
      <c r="A45" s="731" t="s">
        <v>341</v>
      </c>
      <c r="B45" s="236" t="s">
        <v>85</v>
      </c>
      <c r="C45" s="237">
        <f>C46</f>
        <v>740</v>
      </c>
      <c r="D45" s="227">
        <f>C47</f>
        <v>3.2000000000000002E-3</v>
      </c>
      <c r="E45" s="228" t="s">
        <v>102</v>
      </c>
      <c r="F45" s="238"/>
      <c r="G45" s="239" t="s">
        <v>434</v>
      </c>
    </row>
    <row r="46" spans="1:7" s="206" customFormat="1" ht="13.5" customHeight="1">
      <c r="A46" s="734" t="s">
        <v>349</v>
      </c>
      <c r="B46" s="240" t="s">
        <v>427</v>
      </c>
      <c r="C46" s="241">
        <f>ROUND((C33+C39)*F27,0)</f>
        <v>740</v>
      </c>
      <c r="D46" s="255"/>
      <c r="E46" s="228"/>
      <c r="F46" s="238"/>
      <c r="G46" s="239"/>
    </row>
    <row r="47" spans="1:7" s="206" customFormat="1" ht="13.5" customHeight="1">
      <c r="A47" s="734" t="s">
        <v>347</v>
      </c>
      <c r="B47" s="240" t="s">
        <v>429</v>
      </c>
      <c r="C47" s="230">
        <f>ROUND(C40*F27,4)</f>
        <v>3.2000000000000002E-3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5934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4747</v>
      </c>
      <c r="D51" s="224"/>
      <c r="E51" s="224"/>
      <c r="F51" s="256"/>
      <c r="G51" s="226" t="s">
        <v>37</v>
      </c>
    </row>
    <row r="52" spans="1:7" s="200" customFormat="1" ht="16.5" thickBot="1">
      <c r="A52" s="257" t="s">
        <v>38</v>
      </c>
      <c r="B52" s="258"/>
      <c r="C52" s="259">
        <f ca="1">C31+C51</f>
        <v>32552</v>
      </c>
      <c r="D52" s="258"/>
      <c r="E52" s="258"/>
      <c r="F52" s="258"/>
      <c r="G52" s="260"/>
    </row>
    <row r="55" spans="1:7" ht="15">
      <c r="B55" s="262" t="s">
        <v>39</v>
      </c>
      <c r="C55" s="263"/>
    </row>
    <row r="56" spans="1:7">
      <c r="B56" s="265" t="s">
        <v>40</v>
      </c>
      <c r="C56" s="266">
        <f ca="1">ROUND(C51/C52,3)</f>
        <v>0.14599999999999999</v>
      </c>
    </row>
    <row r="57" spans="1:7">
      <c r="B57" s="265" t="s">
        <v>41</v>
      </c>
      <c r="C57" s="267">
        <f ca="1">1-C56</f>
        <v>0.85399999999999998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2841</v>
      </c>
      <c r="B1" s="3464"/>
      <c r="C1" s="3464"/>
      <c r="D1" s="3464"/>
      <c r="E1" s="3464"/>
      <c r="F1" s="3464"/>
      <c r="G1" s="3465"/>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2"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63"/>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6" t="s">
        <v>3183</v>
      </c>
      <c r="B1" s="3466"/>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67" t="s">
        <v>3234</v>
      </c>
      <c r="B1" s="3467"/>
      <c r="C1" s="3467"/>
      <c r="D1" s="3467"/>
      <c r="E1" s="3467"/>
      <c r="F1" s="3468"/>
    </row>
    <row r="2" spans="1:6">
      <c r="A2" s="3003" t="s">
        <v>3235</v>
      </c>
    </row>
    <row r="3" spans="1:6">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8">
        <f>基准地价修正!G23</f>
        <v>45553</v>
      </c>
      <c r="B1" s="2930" t="s">
        <v>3373</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3379</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3380</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2.75">
      <c r="A7" s="2906" t="s">
        <v>3382</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2.75">
      <c r="A8" s="2906" t="s">
        <v>3377</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2.75">
      <c r="A9" s="2906" t="s">
        <v>3376</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2.75">
      <c r="A10" s="2906" t="s">
        <v>3372</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2.75">
      <c r="A11" s="2906" t="s">
        <v>3371</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2.75">
      <c r="A12" s="2906" t="s">
        <v>3370</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6" t="s">
        <v>3366</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6" t="s">
        <v>3357</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6" t="s">
        <v>2822</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6" t="s">
        <v>2823</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6" t="s">
        <v>2824</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6" t="s">
        <v>2825</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thickBot="1">
      <c r="A19" s="2919" t="s">
        <v>2826</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4.25" thickTop="1"/>
    <row r="21" spans="1:30">
      <c r="A21" s="3144" t="s">
        <v>3368</v>
      </c>
    </row>
    <row r="22" spans="1:30">
      <c r="I22" s="1405" t="s">
        <v>2827</v>
      </c>
    </row>
    <row r="24" spans="1:30" s="2009" customFormat="1" ht="12.75">
      <c r="B24" s="2930" t="s">
        <v>3374</v>
      </c>
      <c r="C24" s="2931"/>
      <c r="D24" s="2931"/>
      <c r="E24" s="2931"/>
      <c r="F24" s="2931"/>
      <c r="G24" s="2931"/>
      <c r="H24" s="2931"/>
      <c r="I24" s="2931"/>
      <c r="J24" s="2897"/>
      <c r="K24" s="2931" t="s">
        <v>2828</v>
      </c>
      <c r="L24" s="2931"/>
      <c r="M24" s="2931"/>
      <c r="N24" s="2931"/>
      <c r="O24" s="2931"/>
      <c r="P24" s="2931"/>
      <c r="Q24" s="2897"/>
      <c r="R24" s="3469" t="s">
        <v>2829</v>
      </c>
      <c r="S24" s="3470"/>
      <c r="T24" s="3470"/>
      <c r="U24" s="3470"/>
      <c r="V24" s="3470"/>
      <c r="W24" s="3470"/>
      <c r="X24" s="2897"/>
      <c r="Y24" s="3469" t="s">
        <v>2830</v>
      </c>
      <c r="Z24" s="3470"/>
      <c r="AA24" s="3470"/>
      <c r="AB24" s="3470"/>
      <c r="AC24" s="3470"/>
      <c r="AD24" s="3470"/>
    </row>
    <row r="25" spans="1:30" s="2010" customFormat="1" ht="14.25" thickBot="1">
      <c r="B25" s="2882"/>
      <c r="C25" s="2883"/>
      <c r="D25" s="2011" t="s">
        <v>2831</v>
      </c>
      <c r="E25" s="2012" t="s">
        <v>2832</v>
      </c>
      <c r="F25" s="2012" t="s">
        <v>2833</v>
      </c>
      <c r="G25" s="2012" t="s">
        <v>2834</v>
      </c>
      <c r="H25" s="2012"/>
      <c r="I25" s="2012" t="s">
        <v>2835</v>
      </c>
      <c r="J25" s="2884"/>
      <c r="K25" s="2011" t="s">
        <v>2831</v>
      </c>
      <c r="L25" s="2012" t="s">
        <v>2832</v>
      </c>
      <c r="M25" s="2012" t="s">
        <v>2833</v>
      </c>
      <c r="N25" s="2012" t="s">
        <v>2834</v>
      </c>
      <c r="O25" s="2012"/>
      <c r="P25" s="2012" t="s">
        <v>2835</v>
      </c>
      <c r="Q25" s="2884"/>
      <c r="R25" s="2011" t="s">
        <v>2831</v>
      </c>
      <c r="S25" s="2012" t="s">
        <v>2832</v>
      </c>
      <c r="T25" s="2012" t="s">
        <v>2833</v>
      </c>
      <c r="U25" s="2012" t="s">
        <v>2834</v>
      </c>
      <c r="V25" s="2012"/>
      <c r="W25" s="2012" t="s">
        <v>2835</v>
      </c>
      <c r="X25" s="2884"/>
      <c r="Y25" s="2011" t="s">
        <v>2831</v>
      </c>
      <c r="Z25" s="2012" t="s">
        <v>2832</v>
      </c>
      <c r="AA25" s="2012" t="s">
        <v>2833</v>
      </c>
      <c r="AB25" s="2012" t="s">
        <v>2834</v>
      </c>
      <c r="AC25" s="2012"/>
      <c r="AD25" s="2012" t="s">
        <v>2835</v>
      </c>
    </row>
    <row r="26" spans="1:30" s="2887" customFormat="1" ht="12.75">
      <c r="A26" s="2885" t="s">
        <v>2836</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2.75">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2.75">
      <c r="A28" s="2040" t="s">
        <v>3379</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2.75">
      <c r="A29" s="2908" t="s">
        <v>3380</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2.75">
      <c r="A30" s="2906" t="s">
        <v>3381</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2.75">
      <c r="A31" s="2906" t="s">
        <v>3378</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2.75">
      <c r="A32" s="2906" t="s">
        <v>3376</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2.75">
      <c r="A33" s="2906" t="s">
        <v>3375</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2.75">
      <c r="A34" s="2906" t="s">
        <v>3371</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2.75">
      <c r="A35" s="2906" t="s">
        <v>3370</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2.75">
      <c r="A36" s="2906" t="s">
        <v>3367</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2.75">
      <c r="A37" s="2906" t="s">
        <v>3357</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2.75">
      <c r="A38" s="2906" t="s">
        <v>2837</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2.75">
      <c r="A39" s="2906" t="s">
        <v>2838</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2.75">
      <c r="A40" s="2906" t="s">
        <v>2839</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2.75">
      <c r="A41" s="2906" t="s">
        <v>2840</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thickBot="1">
      <c r="A42" s="2919" t="s">
        <v>2826</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4.25" thickTop="1"/>
    <row r="44" spans="1:30">
      <c r="A44" s="3144"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45553</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北京市房地产</v>
      </c>
      <c r="B4" s="801">
        <f>项目基本情况!C17</f>
        <v>9035.91</v>
      </c>
      <c r="C4" s="801">
        <f>项目基本情况!C18</f>
        <v>0</v>
      </c>
      <c r="D4" s="801">
        <f ca="1">结果表!D118</f>
        <v>16985</v>
      </c>
      <c r="E4" s="801" t="e">
        <f ca="1">结果表!E118</f>
        <v>#DIV/0!</v>
      </c>
      <c r="F4" s="801">
        <f ca="1">结果表!F118</f>
        <v>4960</v>
      </c>
      <c r="G4" s="801" t="e">
        <f ca="1">结果表!G118</f>
        <v>#DIV/0!</v>
      </c>
      <c r="H4" s="801">
        <f ca="1">结果表!H118</f>
        <v>21945</v>
      </c>
      <c r="I4" s="801" t="e">
        <f ca="1">结果表!I118</f>
        <v>#DIV/0!</v>
      </c>
    </row>
    <row r="5" spans="1:9" ht="30" customHeight="1">
      <c r="A5" s="3159" t="s">
        <v>927</v>
      </c>
      <c r="B5" s="3159"/>
      <c r="C5" s="3159"/>
      <c r="D5" s="3159" t="str">
        <f ca="1">结果表!D119</f>
        <v>壹亿陆仟玖佰捌拾伍万元整</v>
      </c>
      <c r="E5" s="3159"/>
      <c r="F5" s="3159" t="str">
        <f ca="1">结果表!F119</f>
        <v>肆仟玖佰陆拾万元整</v>
      </c>
      <c r="G5" s="3159"/>
      <c r="H5" s="3159" t="str">
        <f ca="1">结果表!H119</f>
        <v>贰亿壹仟玖佰肆拾伍万元整</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f ca="1">结果表!D122</f>
        <v>21945</v>
      </c>
      <c r="E8" s="3158"/>
      <c r="F8" s="3158"/>
      <c r="G8" s="3158"/>
      <c r="H8" s="3158"/>
      <c r="I8" s="3158"/>
    </row>
    <row r="9" spans="1:9" ht="15">
      <c r="A9" s="3159" t="s">
        <v>927</v>
      </c>
      <c r="B9" s="3159"/>
      <c r="C9" s="3159"/>
      <c r="D9" s="3159" t="str">
        <f ca="1">结果表!D123</f>
        <v>贰亿壹仟玖佰肆拾伍万元整</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45564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Sheet1</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基准地价修正 (2)</vt:lpstr>
      <vt:lpstr>成本法</vt:lpstr>
      <vt:lpstr>成本法 (元)</vt:lpstr>
      <vt:lpstr>假设开发法</vt:lpstr>
      <vt:lpstr>收益法</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2024-09-29T10:15:32Z</dcterms:modified>
</cp:coreProperties>
</file>